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drawings/vmlDrawing4.vml" ContentType="application/vnd.openxmlformats-officedocument.vmlDrawing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vmlDrawing2.vml" ContentType="application/vnd.openxmlformats-officedocument.vmlDrawin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Área - M² - CNP" sheetId="1" state="visible" r:id="rId2"/>
    <sheet name="Postos Necessários -CNP" sheetId="2" state="visible" r:id="rId3"/>
    <sheet name="Serviço" sheetId="3" state="visible" r:id="rId4"/>
    <sheet name="Serviço Insalubridade" sheetId="4" state="visible" r:id="rId5"/>
    <sheet name="Serviço Líder" sheetId="5" state="visible" r:id="rId6"/>
    <sheet name="EPI e uniformes" sheetId="6" state="visible" r:id="rId7"/>
    <sheet name="materiais" sheetId="7" state="visible" r:id="rId8"/>
    <sheet name="equipamentos" sheetId="8" state="visible" r:id="rId9"/>
    <sheet name="Custo da Área - R$-M² -CNP" sheetId="9" state="visible" r:id="rId10"/>
    <sheet name="VALOR" sheetId="10" state="visible" r:id="rId11"/>
  </sheets>
  <definedNames>
    <definedName function="false" hidden="false" localSheetId="3" name="__xlnm.Print_Area_2" vbProcedure="false">#REF!</definedName>
    <definedName function="false" hidden="false" localSheetId="3" name="__xlnm.Print_Area_3" vbProcedure="false">#REF!</definedName>
    <definedName function="false" hidden="false" localSheetId="3" name="___xlnm.Print_Area_2" vbProcedure="false">#REF!</definedName>
    <definedName function="false" hidden="false" localSheetId="3" name="___xlnm.Print_Area_3" vbProcedure="false">#REF!</definedName>
    <definedName function="false" hidden="false" localSheetId="3" name="____xlnm.Print_Area_2" vbProcedure="false">#REF!</definedName>
    <definedName function="false" hidden="false" localSheetId="3" name="____xlnm.Print_Area_3" vbProcedure="false">#REF!</definedName>
    <definedName function="false" hidden="false" localSheetId="6" name="__xlnm.Print_Area_2" vbProcedure="false">#REF!</definedName>
    <definedName function="false" hidden="false" localSheetId="6" name="__xlnm.Print_Area_3" vbProcedure="false">#REF!</definedName>
    <definedName function="false" hidden="false" localSheetId="6" name="___xlnm.Print_Area_2" vbProcedure="false">#REF!</definedName>
    <definedName function="false" hidden="false" localSheetId="6" name="___xlnm.Print_Area_3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33" authorId="0">
      <text>
        <r>
          <rPr>
            <sz val="10"/>
            <color rgb="FF000000"/>
            <rFont val="Arial"/>
            <family val="0"/>
          </rPr>
          <t xml:space="preserve">======
ID#AAAALLGhd4E
    (2021-01-26 20:38:21)
Referência: Os tributos (COFINS e PIS) foram definidos utilizando o regime de tributação de LUCRO REAL.
A licitante deve elaborar sua proposta e, por conseguinte, sua planilha, com base no regime de tributação ao qual estará submetida durante a execução do contrato.</t>
        </r>
      </text>
    </comment>
    <comment ref="D26" authorId="0">
      <text>
        <r>
          <rPr>
            <sz val="10"/>
            <color rgb="FF000000"/>
            <rFont val="Arial"/>
            <family val="0"/>
          </rPr>
          <t xml:space="preserve">======
ID#AAAALLGheaE
Pâmella Bandeira    (2021-01-26 22:32:19)
Início da vigência da CCT</t>
        </r>
      </text>
    </comment>
    <comment ref="D30" authorId="0">
      <text>
        <r>
          <rPr>
            <sz val="10"/>
            <color rgb="FF000000"/>
            <rFont val="Arial"/>
            <family val="0"/>
          </rPr>
          <t xml:space="preserve">======
ID#AAAALLGhd4c
    (2021-01-26 20:38:21)
1ª Faixa Salarial CCT 2021</t>
        </r>
      </text>
    </comment>
    <comment ref="D37" authorId="0">
      <text>
        <r>
          <rPr>
            <sz val="10"/>
            <color rgb="FF000000"/>
            <rFont val="Arial"/>
            <family val="0"/>
          </rPr>
          <t xml:space="preserve">======
ID#AAAALLGhd4s
    (2021-01-26 20:38:21)
Gratificação por Assiduidade prevista na 1ª Faixa Salarial da CCT 2020.</t>
        </r>
      </text>
    </comment>
    <comment ref="D55" authorId="0">
      <text>
        <r>
          <rPr>
            <sz val="10"/>
            <color rgb="FF000000"/>
            <rFont val="Arial"/>
            <family val="0"/>
          </rPr>
          <t xml:space="preserve">======
ID#AAAALLGhd4k
    (2021-01-26 20:38:21)
RAT x FAP. 
1) RAT = 3% (Limpeza em prédios e em domicílios - código 8121-4/00 do Anexo V do Decreto n.º 3.048/1999). 
2) FAP = Máximo de Fator de Acidente Previdenciário = 2:
3% x 2 = 6% (maior valor possível)
A empresa deve utilizar o seu FAP efetivo, a ser comprovado no envio de sua proposta adequada ao lance vencedor, mediante apresentação da GFIP ou outro documento apto a fazê-lo.</t>
        </r>
      </text>
    </comment>
    <comment ref="D66" authorId="0">
      <text>
        <r>
          <rPr>
            <sz val="10"/>
            <color rgb="FF000000"/>
            <rFont val="Arial"/>
            <family val="0"/>
          </rPr>
          <t xml:space="preserve">======
ID#AAAALLGhd48
    (2021-01-26 20:38:21)
CCT 2021 (15ª §1º) define R$ 16,00/dia com possibilidade de descontar até 5% desse valor como contribuição do funcionário (§3º, regra do PAT). 
Cálculo: (R$ 16,00 - 5%) * 20,848 dias (Dias trabalhados de segunda a sábado)</t>
        </r>
      </text>
    </comment>
    <comment ref="D70" authorId="0">
      <text>
        <r>
          <rPr>
            <sz val="10"/>
            <color rgb="FF000000"/>
            <rFont val="Arial"/>
            <family val="0"/>
          </rPr>
          <t xml:space="preserve">======
ID#AAAALLGhd3s
    (2021-01-26 20:38:21)
Conforme §1º da Cláusula Nona da CCT 2021
.</t>
        </r>
      </text>
    </comment>
    <comment ref="D86" authorId="0">
      <text>
        <r>
          <rPr>
            <sz val="10"/>
            <color rgb="FF000000"/>
            <rFont val="Arial"/>
            <family val="0"/>
          </rPr>
          <t xml:space="preserve">======
ID#AAAALLGhd4I
    (2021-01-26 20:38:21)
{[(7/30)/12]x100} = 1,944%
7 dias de folga / 30 dias / 12 meses (vigência inicial do contrato) = provisão mensal para esse item de custo * remuneração mensal</t>
        </r>
      </text>
    </comment>
    <comment ref="D120" authorId="0">
      <text>
        <r>
          <rPr>
            <sz val="10"/>
            <color rgb="FF000000"/>
            <rFont val="Arial"/>
            <family val="0"/>
          </rPr>
          <t xml:space="preserve">======
ID#AAAALLGhd44
    (2021-01-26 20:38:21)
Referência: Custo Mensal de Uniformes (vide planilha específica).</t>
        </r>
      </text>
    </comment>
    <comment ref="D122" authorId="0">
      <text>
        <r>
          <rPr>
            <sz val="10"/>
            <color rgb="FF000000"/>
            <rFont val="Arial"/>
            <family val="0"/>
          </rPr>
          <t xml:space="preserve">======
ID#AAAALLGhd4w
    (2021-01-26 20:38:21)
Referência: Custo Mensal de Materiais de Consumo e Utensílios (vide planilha específica).</t>
        </r>
      </text>
    </comment>
    <comment ref="D123" authorId="0">
      <text>
        <r>
          <rPr>
            <sz val="10"/>
            <color rgb="FF000000"/>
            <rFont val="Arial"/>
            <family val="0"/>
          </rPr>
          <t xml:space="preserve">======
ID#AAAALLGhd4U
    (2021-01-26 20:38:21)
Referência: Custo Mensal da depreciação e manutenção de Equipamentos e Ferramentas (vide planilha específica).</t>
        </r>
      </text>
    </comment>
    <comment ref="D129" authorId="0">
      <text>
        <r>
          <rPr>
            <sz val="10"/>
            <color rgb="FF000000"/>
            <rFont val="Arial"/>
            <family val="0"/>
          </rPr>
          <t xml:space="preserve">======
ID#AAAALLGhd5M
    (2021-01-26 20:38:21)
Referência: Custos Indiretos e Lucro (vide planilha específica).</t>
        </r>
      </text>
    </comment>
    <comment ref="D131" authorId="0">
      <text>
        <r>
          <rPr>
            <sz val="10"/>
            <color rgb="FF000000"/>
            <rFont val="Arial"/>
            <family val="0"/>
          </rPr>
          <t xml:space="preserve">======
ID#AAAALLGhd30
    (2021-01-26 20:38:21)
Referência: Custos Indiretos e Lucro (vide planilha específica).</t>
        </r>
      </text>
    </comment>
    <comment ref="D139" authorId="0">
      <text>
        <r>
          <rPr>
            <sz val="10"/>
            <color rgb="FF000000"/>
            <rFont val="Arial"/>
            <family val="0"/>
          </rPr>
          <t xml:space="preserve">======
ID#AAAALLGhd4Y
    (2021-01-26 20:38:21)
Valor do ISS praticado no Município onde será prestado o serviço.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33" authorId="0">
      <text>
        <r>
          <rPr>
            <sz val="10"/>
            <color rgb="FF000000"/>
            <rFont val="Arial"/>
            <family val="0"/>
          </rPr>
          <t xml:space="preserve">======
ID#AAAALLGheds
Pâmella Bandeira    (2021-01-26 22:44:38)
A insalubridade é sobre o salário mínimo, não sobre o salário base da CCT</t>
        </r>
      </text>
    </comment>
    <comment ref="B70" authorId="0">
      <text>
        <r>
          <rPr>
            <sz val="10"/>
            <color rgb="FF000000"/>
            <rFont val="Arial"/>
            <family val="0"/>
          </rPr>
          <t xml:space="preserve">======
ID#AAAAL0j4ZyI
    (2021-03-18 19:51:44)
Parágrafo 1º da Cláusula 51ª (DO PROGRAMA DE CONTROLE MÉDICO DE SAÚDE
OCUPACIONAL) da CCT 2021.</t>
        </r>
      </text>
    </comment>
    <comment ref="B71" authorId="0">
      <text>
        <r>
          <rPr>
            <sz val="10"/>
            <color rgb="FF000000"/>
            <rFont val="Arial"/>
            <family val="0"/>
          </rPr>
          <t xml:space="preserve">======
ID#AAAAL0j4Zy4
    (2021-03-18 19:51:44)
Conforme §1º da Cláusula Nona da CCT 2021</t>
        </r>
      </text>
    </comment>
    <comment ref="B134" authorId="0">
      <text>
        <r>
          <rPr>
            <sz val="10"/>
            <color rgb="FF000000"/>
            <rFont val="Arial"/>
            <family val="0"/>
          </rPr>
          <t xml:space="preserve">======
ID#AAAALLGhd5E
    (2021-01-26 20:38:21)
Referência: Os tributos (COFINS e PIS) foram definidos utilizando o regime de tributação de LUCRO REAL.
A licitante deve elaborar sua proposta e, por conseguinte, sua planilha, com base no regime de tributação ao qual estará submetida durante a execução do contrato.</t>
        </r>
      </text>
    </comment>
    <comment ref="D31" authorId="0">
      <text>
        <r>
          <rPr>
            <sz val="10"/>
            <color rgb="FF000000"/>
            <rFont val="Arial"/>
            <family val="0"/>
          </rPr>
          <t xml:space="preserve">======
ID#AAAALLGhd3o
    (2021-01-26 20:38:21)
1ª Faixa Salarial CCT 2021</t>
        </r>
      </text>
    </comment>
    <comment ref="D38" authorId="0">
      <text>
        <r>
          <rPr>
            <sz val="10"/>
            <color rgb="FF000000"/>
            <rFont val="Arial"/>
            <family val="0"/>
          </rPr>
          <t xml:space="preserve">======
ID#AAAALLGhd5Q
    (2021-01-26 20:38:21)
Gratificação por Assiduidade prevista na 1ª Faixa Salarial da CCT 2021.</t>
        </r>
      </text>
    </comment>
    <comment ref="D56" authorId="0">
      <text>
        <r>
          <rPr>
            <sz val="10"/>
            <color rgb="FF000000"/>
            <rFont val="Arial"/>
            <family val="0"/>
          </rPr>
          <t xml:space="preserve">======
ID#AAAALLGhd3w
    (2021-01-26 20:38:21)
RAT x FAP. 
1) RAT = 3% (Limpeza em prédios e em domicílios - código 8121-4/00 do Anexo V do Decreto n.º 3.048/1999). 
2) FAP = Máximo de Fator de Acidente Previdenciário = 2:
3% x 2 = 6% (maior valor possível)
A empresa deve utilizar o seu FAP efetivo, a ser comprovado no envio de sua proposta adequada ao lance vencedor, mediante apresentação da GFIP ou outro documento apto a fazê-lo.</t>
        </r>
      </text>
    </comment>
    <comment ref="D67" authorId="0">
      <text>
        <r>
          <rPr>
            <sz val="10"/>
            <color rgb="FF000000"/>
            <rFont val="Arial"/>
            <family val="0"/>
          </rPr>
          <t xml:space="preserve">======
ID#AAAAL0j4Zyo
    (2021-03-18 19:51:44)
CCT 2021 (15ª §1º) define R$ 16,00/dia com possibilidade de descontar até 5% desse valor como contribuição do funcionário (§3º, regra do PAT). 
Cálculo: (R$ 16,00 - 5%) * 20,848 dias (Dias trabalhados de segunda a sábado)</t>
        </r>
      </text>
    </comment>
    <comment ref="D87" authorId="0">
      <text>
        <r>
          <rPr>
            <sz val="10"/>
            <color rgb="FF000000"/>
            <rFont val="Arial"/>
            <family val="0"/>
          </rPr>
          <t xml:space="preserve">======
ID#AAAAL0j4ZyY
    (2021-03-18 19:51:44)
{[(7/30)/12]x100} = 1,944%
7 dias de folga / 30 dias / 12 meses (vigência inicial do contrato) = provisão mensal para esse item de custo * remuneração mensal</t>
        </r>
      </text>
    </comment>
    <comment ref="D121" authorId="0">
      <text>
        <r>
          <rPr>
            <sz val="10"/>
            <color rgb="FF000000"/>
            <rFont val="Arial"/>
            <family val="0"/>
          </rPr>
          <t xml:space="preserve">======
ID#AAAALLGhd34
    (2021-01-26 20:38:21)
Referência: Custo Mensal de Uniformes (vide planilha específica).</t>
        </r>
      </text>
    </comment>
    <comment ref="D123" authorId="0">
      <text>
        <r>
          <rPr>
            <sz val="10"/>
            <color rgb="FF000000"/>
            <rFont val="Arial"/>
            <family val="0"/>
          </rPr>
          <t xml:space="preserve">======
ID#AAAALLGhd4A
    (2021-01-26 20:38:21)
Referência: Custo Mensal de Materiais de Consumo e Utensílios (vide planilha específica).</t>
        </r>
      </text>
    </comment>
    <comment ref="D124" authorId="0">
      <text>
        <r>
          <rPr>
            <sz val="10"/>
            <color rgb="FF000000"/>
            <rFont val="Arial"/>
            <family val="0"/>
          </rPr>
          <t xml:space="preserve">======
ID#AAAALLGhd4g
    (2021-01-26 20:38:21)
Referência: Custo Mensal da depreciação e manutenção de Equipamentos e Ferramentas (vide planilha específica).</t>
        </r>
      </text>
    </comment>
    <comment ref="D130" authorId="0">
      <text>
        <r>
          <rPr>
            <sz val="10"/>
            <color rgb="FF000000"/>
            <rFont val="Arial"/>
            <family val="0"/>
          </rPr>
          <t xml:space="preserve">======
ID#AAAALLGhd4Q
    (2021-01-26 20:38:21)
Referência: Custos Indiretos e Lucro (vide planilha específica).</t>
        </r>
      </text>
    </comment>
    <comment ref="D132" authorId="0">
      <text>
        <r>
          <rPr>
            <sz val="10"/>
            <color rgb="FF000000"/>
            <rFont val="Arial"/>
            <family val="0"/>
          </rPr>
          <t xml:space="preserve">======
ID#AAAALLGhd40
    (2021-01-26 20:38:21)
Referência: Custos Indiretos e Lucro (vide planilha específica).</t>
        </r>
      </text>
    </comment>
    <comment ref="D140" authorId="0">
      <text>
        <r>
          <rPr>
            <sz val="10"/>
            <color rgb="FF000000"/>
            <rFont val="Arial"/>
            <family val="0"/>
          </rPr>
          <t xml:space="preserve">======
ID#AAAALLGhd38
    (2021-01-26 20:38:21)
Valor do ISS praticado no Município onde será prestado o serviço.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32" authorId="0">
      <text>
        <r>
          <rPr>
            <sz val="10"/>
            <color rgb="FF000000"/>
            <rFont val="Arial"/>
            <family val="0"/>
          </rPr>
          <t xml:space="preserve">======
ID#AAAAL0j4ZzQ
    (2021-03-18 19:51:44)
A insalubridade é sobre o salário mínimo, não sobre o salário base da CCT</t>
        </r>
      </text>
    </comment>
    <comment ref="B69" authorId="0">
      <text>
        <r>
          <rPr>
            <sz val="10"/>
            <color rgb="FF000000"/>
            <rFont val="Arial"/>
            <family val="0"/>
          </rPr>
          <t xml:space="preserve">======
ID#AAAAL0j4ZzU
    (2021-03-18 19:51:44)
Parágrafo 1º da Cláusula 51ª (DO PROGRAMA DE CONTROLE MÉDICO DE SAÚDE OCUPACIONAL) da CCT 2021.</t>
        </r>
      </text>
    </comment>
    <comment ref="B70" authorId="0">
      <text>
        <r>
          <rPr>
            <sz val="10"/>
            <color rgb="FF000000"/>
            <rFont val="Arial"/>
            <family val="0"/>
          </rPr>
          <t xml:space="preserve">======
ID#AAAAL0j4ZyQ
    (2021-03-18 19:51:44)
Conforme §1º da Cláusula Nona da CCT 2021.</t>
        </r>
      </text>
    </comment>
    <comment ref="B133" authorId="0">
      <text>
        <r>
          <rPr>
            <sz val="10"/>
            <color rgb="FF000000"/>
            <rFont val="Arial"/>
            <family val="0"/>
          </rPr>
          <t xml:space="preserve">======
ID#AAAAL0j4ZzA
    (2021-01-26 20:38:21)
Referência: Os tributos (COFINS e PIS) foram definidos utilizando o regime de tributação de LUCRO REAL.
A licitante deve elaborar sua proposta e, por conseguinte, sua planilha, com base no regime de tributação ao qual estará submetida durante a execução do contrato.</t>
        </r>
      </text>
    </comment>
    <comment ref="D30" authorId="0">
      <text>
        <r>
          <rPr>
            <sz val="10"/>
            <color rgb="FF000000"/>
            <rFont val="Arial"/>
            <family val="0"/>
          </rPr>
          <t xml:space="preserve">======
ID#AAAAL0j4ZyM
    (2021-03-18 19:51:44)
1ª Faixa Salarial CCT 2021</t>
        </r>
      </text>
    </comment>
    <comment ref="D37" authorId="0">
      <text>
        <r>
          <rPr>
            <sz val="10"/>
            <color rgb="FF000000"/>
            <rFont val="Arial"/>
            <family val="0"/>
          </rPr>
          <t xml:space="preserve">======
ID#AAAAL0j4Zy0
    (2021-03-18 19:51:44)
Gratificação por Assiduidade prevista na 1ª Faixa Salarial da CCT 2021.</t>
        </r>
      </text>
    </comment>
    <comment ref="D38" authorId="0">
      <text>
        <r>
          <rPr>
            <sz val="10"/>
            <color rgb="FF000000"/>
            <rFont val="Arial"/>
            <family val="0"/>
          </rPr>
          <t xml:space="preserve">======
ID#AAAAL0j4Zyg
Gratificação de função de  Líder de Equipe prevista na CCT 2021    (2021-03-18 19:51:44)
Líder de Equipe:
05 a 10 empregados – piso da categoria + gratificação de função de 20%.
11 a 20 empregados – piso da categoria + gratificação de função de 35%.
21 a 30 empregados – piso da categoria + gratificação de função de 50%.</t>
        </r>
      </text>
    </comment>
    <comment ref="D55" authorId="0">
      <text>
        <r>
          <rPr>
            <sz val="10"/>
            <color rgb="FF000000"/>
            <rFont val="Arial"/>
            <family val="0"/>
          </rPr>
          <t xml:space="preserve">======
ID#AAAAL0j4Zyk
    (2021-01-26 20:38:21)
RAT x FAP. 
1) RAT = 3% (Limpeza em prédios e em domicílios - código 8121-4/00 do Anexo V do Decreto n.º 3.048/1999). 
2) FAP = Máximo de Fator de Acidente Previdenciário = 2:
3% x 2 = 6% (maior valor possível)
A empresa deve utilizar o seu FAP efetivo, a ser comprovado no envio de sua proposta adequada ao lance vencedor, mediante apresentação da GFIP ou outro documento apto a fazê-lo.</t>
        </r>
      </text>
    </comment>
    <comment ref="D66" authorId="0">
      <text>
        <r>
          <rPr>
            <sz val="10"/>
            <color rgb="FF000000"/>
            <rFont val="Arial"/>
            <family val="0"/>
          </rPr>
          <t xml:space="preserve">======
ID#AAAAL0j4ZzE
    (2021-03-18 19:51:44)
CCT 2021 (15ª §1º) define R$ 16,00/dia com possibilidade de descontar até 5% desse valor como contribuição do funcionário (§3º, regra do PAT). 
Cálculo: (R$ 16,00 - 5%) * 20,848 dias (Dias trabalhados de segunda a sábado)</t>
        </r>
      </text>
    </comment>
    <comment ref="D86" authorId="0">
      <text>
        <r>
          <rPr>
            <sz val="10"/>
            <color rgb="FF000000"/>
            <rFont val="Arial"/>
            <family val="0"/>
          </rPr>
          <t xml:space="preserve">======
ID#AAAAL0j4Zyw
    (2021-01-26 20:38:21)
{[(7/30)/12]x100} = 1,944%
7 dias de folga / 30 dias / 12 meses (vigência inicial do contrato) = provisão mensal para esse item de custo * remuneração mensal</t>
        </r>
      </text>
    </comment>
    <comment ref="D120" authorId="0">
      <text>
        <r>
          <rPr>
            <sz val="10"/>
            <color rgb="FF000000"/>
            <rFont val="Arial"/>
            <family val="0"/>
          </rPr>
          <t xml:space="preserve">======
ID#AAAAL0j4Zy8
    (2021-01-26 20:38:21)
Referência: Custo Mensal de Uniformes (vide planilha específica).</t>
        </r>
      </text>
    </comment>
    <comment ref="D122" authorId="0">
      <text>
        <r>
          <rPr>
            <sz val="10"/>
            <color rgb="FF000000"/>
            <rFont val="Arial"/>
            <family val="0"/>
          </rPr>
          <t xml:space="preserve">======
ID#AAAAL0j4ZyU
    (2021-01-26 20:38:21)
Referência: Custo Mensal de Materiais de Consumo e Utensílios (vide planilha específica).</t>
        </r>
      </text>
    </comment>
    <comment ref="D123" authorId="0">
      <text>
        <r>
          <rPr>
            <sz val="10"/>
            <color rgb="FF000000"/>
            <rFont val="Arial"/>
            <family val="0"/>
          </rPr>
          <t xml:space="preserve">======
ID#AAAAL0j4Zys
    (2021-01-26 20:38:21)
Referência: Custo Mensal da depreciação e manutenção de Equipamentos e Ferramentas (vide planilha específica).</t>
        </r>
      </text>
    </comment>
    <comment ref="D129" authorId="0">
      <text>
        <r>
          <rPr>
            <sz val="10"/>
            <color rgb="FF000000"/>
            <rFont val="Arial"/>
            <family val="0"/>
          </rPr>
          <t xml:space="preserve">======
ID#AAAAL0j4Zyc
    (2021-01-26 20:38:21)
Referência: Custos Indiretos e Lucro (vide planilha específica).</t>
        </r>
      </text>
    </comment>
    <comment ref="D131" authorId="0">
      <text>
        <r>
          <rPr>
            <sz val="10"/>
            <color rgb="FF000000"/>
            <rFont val="Arial"/>
            <family val="0"/>
          </rPr>
          <t xml:space="preserve">======
ID#AAAAL0j4ZzI
    (2021-01-26 20:38:21)
Referência: Custos Indiretos e Lucro (vide planilha específica).</t>
        </r>
      </text>
    </comment>
    <comment ref="D139" authorId="0">
      <text>
        <r>
          <rPr>
            <sz val="10"/>
            <color rgb="FF000000"/>
            <rFont val="Arial"/>
            <family val="0"/>
          </rPr>
          <t xml:space="preserve">======
ID#AAAAL0j4ZzM
    (2021-01-26 20:38:21)
Valor do ISS praticado no Município onde será prestado o serviço.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0"/>
            <color rgb="FF000000"/>
            <rFont val="Arial"/>
            <family val="0"/>
          </rPr>
          <t xml:space="preserve">A taxa de manutenção (0,25% a.m.) é a sugerida no artigo “Formação de preços dos serviços contínuos a serem terceirizados na Administração Pública” da Revista Zênite.
======
ID#AAAALLGhd5I
    (2021-01-26 20:38:21)
A taxa de manutenção (0,25% a.m.) é a sugerida no artigo “Formação de preços dos serviços contínuos a serem terceirizados na Administração Pública” da Revista Zênite.</t>
        </r>
      </text>
    </comment>
  </commentList>
</comments>
</file>

<file path=xl/sharedStrings.xml><?xml version="1.0" encoding="utf-8"?>
<sst xmlns="http://schemas.openxmlformats.org/spreadsheetml/2006/main" count="1572" uniqueCount="541">
  <si>
    <t xml:space="preserve">Planilha de Composição da Área</t>
  </si>
  <si>
    <t xml:space="preserve">Bloco Administrativo</t>
  </si>
  <si>
    <t xml:space="preserve">Esquadrias</t>
  </si>
  <si>
    <t xml:space="preserve">Local</t>
  </si>
  <si>
    <t xml:space="preserve">Área Interna (M²)</t>
  </si>
  <si>
    <t xml:space="preserve">Banheiros
(M²)</t>
  </si>
  <si>
    <t xml:space="preserve">Área Externa
(M²)</t>
  </si>
  <si>
    <t xml:space="preserve">Setor / Bloco</t>
  </si>
  <si>
    <t xml:space="preserve">Tipo</t>
  </si>
  <si>
    <t xml:space="preserve">Medida</t>
  </si>
  <si>
    <t xml:space="preserve">Quantidade</t>
  </si>
  <si>
    <t xml:space="preserve">Total
(M²)</t>
  </si>
  <si>
    <t xml:space="preserve">CSA/Compras e Contratos e DAP</t>
  </si>
  <si>
    <t xml:space="preserve">Administrativo</t>
  </si>
  <si>
    <t xml:space="preserve">Janelas</t>
  </si>
  <si>
    <t xml:space="preserve">2,50X1,20</t>
  </si>
  <si>
    <t xml:space="preserve">Psicologia</t>
  </si>
  <si>
    <t xml:space="preserve">2,00X1,00</t>
  </si>
  <si>
    <t xml:space="preserve">Pesquisa e Extensão</t>
  </si>
  <si>
    <t xml:space="preserve">2,00X0,60</t>
  </si>
  <si>
    <t xml:space="preserve">Gestão de Pessoas</t>
  </si>
  <si>
    <t xml:space="preserve">1,20X0,60</t>
  </si>
  <si>
    <t xml:space="preserve">Ascom</t>
  </si>
  <si>
    <t xml:space="preserve">1,00X0,60</t>
  </si>
  <si>
    <t xml:space="preserve">Gabinete</t>
  </si>
  <si>
    <t xml:space="preserve">Total</t>
  </si>
  <si>
    <t xml:space="preserve">Arquivo</t>
  </si>
  <si>
    <t xml:space="preserve">Portas</t>
  </si>
  <si>
    <t xml:space="preserve">0,80X2,10</t>
  </si>
  <si>
    <t xml:space="preserve">Financeiro</t>
  </si>
  <si>
    <t xml:space="preserve">2,00X2,10</t>
  </si>
  <si>
    <t xml:space="preserve">Copa</t>
  </si>
  <si>
    <t xml:space="preserve">Banheiros</t>
  </si>
  <si>
    <t xml:space="preserve">Vestiário</t>
  </si>
  <si>
    <t xml:space="preserve">2,80X0,60</t>
  </si>
  <si>
    <t xml:space="preserve">Área de circulação cobertas e calçadas</t>
  </si>
  <si>
    <t xml:space="preserve">1,50X1,00</t>
  </si>
  <si>
    <t xml:space="preserve">Enfermaria</t>
  </si>
  <si>
    <t xml:space="preserve">Centro de Convivência</t>
  </si>
  <si>
    <t xml:space="preserve">Celif</t>
  </si>
  <si>
    <t xml:space="preserve">Vestiário Masculino</t>
  </si>
  <si>
    <t xml:space="preserve">Vestiário Feminino</t>
  </si>
  <si>
    <t xml:space="preserve">Area Externa</t>
  </si>
  <si>
    <t xml:space="preserve">Biblioteca</t>
  </si>
  <si>
    <t xml:space="preserve">2,00X1,20</t>
  </si>
  <si>
    <t xml:space="preserve">3,00X1,20</t>
  </si>
  <si>
    <t xml:space="preserve">2,20X1,00</t>
  </si>
  <si>
    <t xml:space="preserve">Sala de Jogos</t>
  </si>
  <si>
    <t xml:space="preserve">Banheiro</t>
  </si>
  <si>
    <t xml:space="preserve">Área Externa/Saguão</t>
  </si>
  <si>
    <t xml:space="preserve">Bloco pedagógico</t>
  </si>
  <si>
    <t xml:space="preserve">0,60X0,60</t>
  </si>
  <si>
    <t xml:space="preserve">0,50X0,50</t>
  </si>
  <si>
    <t xml:space="preserve">Quadra Poliesportiva</t>
  </si>
  <si>
    <t xml:space="preserve">2,00X1,10</t>
  </si>
  <si>
    <t xml:space="preserve">1,50X1,20</t>
  </si>
  <si>
    <t xml:space="preserve">Área da quadra</t>
  </si>
  <si>
    <t xml:space="preserve">1,00X1,00</t>
  </si>
  <si>
    <t xml:space="preserve">Janelas superiores</t>
  </si>
  <si>
    <t xml:space="preserve">Anexo (sala modular – estudos)</t>
  </si>
  <si>
    <t xml:space="preserve">1,50X2,10</t>
  </si>
  <si>
    <t xml:space="preserve">Bloco Pedagógico</t>
  </si>
  <si>
    <t xml:space="preserve">Restaurante</t>
  </si>
  <si>
    <t xml:space="preserve">1,10X1,00</t>
  </si>
  <si>
    <t xml:space="preserve">Recepção e escada</t>
  </si>
  <si>
    <t xml:space="preserve">Napp</t>
  </si>
  <si>
    <t xml:space="preserve">Secretaria</t>
  </si>
  <si>
    <t xml:space="preserve">Orientação pedagógica</t>
  </si>
  <si>
    <t xml:space="preserve">1,00X2,10</t>
  </si>
  <si>
    <t xml:space="preserve">Direção de Ensino</t>
  </si>
  <si>
    <t xml:space="preserve">Sala superior</t>
  </si>
  <si>
    <t xml:space="preserve">Almoxarifado</t>
  </si>
  <si>
    <t xml:space="preserve">Anexo (sala modular)</t>
  </si>
  <si>
    <t xml:space="preserve">3,50X1,15</t>
  </si>
  <si>
    <t xml:space="preserve">4,00X2,30</t>
  </si>
  <si>
    <t xml:space="preserve">Área do refeitório</t>
  </si>
  <si>
    <t xml:space="preserve">Alojamento Feminino</t>
  </si>
  <si>
    <t xml:space="preserve">Área Externa</t>
  </si>
  <si>
    <t xml:space="preserve">Alojamento Masculino</t>
  </si>
  <si>
    <t xml:space="preserve">Depósito</t>
  </si>
  <si>
    <t xml:space="preserve">Escritório</t>
  </si>
  <si>
    <t xml:space="preserve">Bloco de Laboratório I </t>
  </si>
  <si>
    <t xml:space="preserve">1,20X1,20</t>
  </si>
  <si>
    <t xml:space="preserve">0,80X1,20</t>
  </si>
  <si>
    <t xml:space="preserve">0,80X0,80</t>
  </si>
  <si>
    <t xml:space="preserve">2,00X0,80</t>
  </si>
  <si>
    <t xml:space="preserve">Área externa e Lavanderia</t>
  </si>
  <si>
    <t xml:space="preserve">3,50X0,80</t>
  </si>
  <si>
    <t xml:space="preserve">3,50X1,20</t>
  </si>
  <si>
    <t xml:space="preserve">1,60X2,10</t>
  </si>
  <si>
    <t xml:space="preserve">Mecanização</t>
  </si>
  <si>
    <t xml:space="preserve">Bloco de Laboratórios I - Agronomia</t>
  </si>
  <si>
    <t xml:space="preserve">Sala trituração</t>
  </si>
  <si>
    <t xml:space="preserve">Agroindústria</t>
  </si>
  <si>
    <t xml:space="preserve">2,10X1,70</t>
  </si>
  <si>
    <t xml:space="preserve">Sala de equipamentos e reagentes</t>
  </si>
  <si>
    <t xml:space="preserve">Laboratório de solos</t>
  </si>
  <si>
    <t xml:space="preserve">Laboratório de botânica</t>
  </si>
  <si>
    <t xml:space="preserve">Sala de pesquisa</t>
  </si>
  <si>
    <t xml:space="preserve">Laboratório de Entomologia</t>
  </si>
  <si>
    <t xml:space="preserve">Laboratório Multidisciplinar</t>
  </si>
  <si>
    <t xml:space="preserve">Sala de equipamentos</t>
  </si>
  <si>
    <t xml:space="preserve">Sala de triagem</t>
  </si>
  <si>
    <t xml:space="preserve">1,80X2,10</t>
  </si>
  <si>
    <t xml:space="preserve">Laboratório de sementes</t>
  </si>
  <si>
    <t xml:space="preserve">Sala de germinação</t>
  </si>
  <si>
    <t xml:space="preserve">T.I.</t>
  </si>
  <si>
    <t xml:space="preserve">Camara fria</t>
  </si>
  <si>
    <t xml:space="preserve">Laboratório de Fitopatologia</t>
  </si>
  <si>
    <t xml:space="preserve">Sala de semeadura</t>
  </si>
  <si>
    <t xml:space="preserve">Sala de incubação</t>
  </si>
  <si>
    <t xml:space="preserve">Sala de esterilização</t>
  </si>
  <si>
    <t xml:space="preserve">Bloco de Sala de Aulas I – Técnico</t>
  </si>
  <si>
    <t xml:space="preserve">2,30X0,60</t>
  </si>
  <si>
    <t xml:space="preserve">Sala com área limpa</t>
  </si>
  <si>
    <t xml:space="preserve">1,15X0,60</t>
  </si>
  <si>
    <t xml:space="preserve">Laboratório de Microbiologia</t>
  </si>
  <si>
    <t xml:space="preserve">3,40X0,60</t>
  </si>
  <si>
    <t xml:space="preserve">Sala de preparação</t>
  </si>
  <si>
    <t xml:space="preserve">3,40X1,60</t>
  </si>
  <si>
    <t xml:space="preserve">Sala de inoculação</t>
  </si>
  <si>
    <t xml:space="preserve">Bloco de Sala de Aulas II – Coordenações</t>
  </si>
  <si>
    <t xml:space="preserve">Laboratório de Mecanização e Implementação Agrícola</t>
  </si>
  <si>
    <t xml:space="preserve">0,50X0,90</t>
  </si>
  <si>
    <t xml:space="preserve">Manutenção de maq. Pesadas</t>
  </si>
  <si>
    <t xml:space="preserve">0,90X2,10</t>
  </si>
  <si>
    <t xml:space="preserve">Bloco de Sala de Aulas III – Processos</t>
  </si>
  <si>
    <t xml:space="preserve">Ferramentaria</t>
  </si>
  <si>
    <t xml:space="preserve">Controle</t>
  </si>
  <si>
    <t xml:space="preserve">Laboratório de Agroindústria</t>
  </si>
  <si>
    <t xml:space="preserve">Bloco Nova Sala dos professores</t>
  </si>
  <si>
    <t xml:space="preserve">2,25X0,85</t>
  </si>
  <si>
    <t xml:space="preserve">2,00X1,45</t>
  </si>
  <si>
    <t xml:space="preserve">Laboratório de industrialização</t>
  </si>
  <si>
    <t xml:space="preserve">2,50X1,45</t>
  </si>
  <si>
    <t xml:space="preserve">Moedor de grãos</t>
  </si>
  <si>
    <t xml:space="preserve">Laboratórios Multidisciplinares</t>
  </si>
  <si>
    <t xml:space="preserve">Bloco de Sala de Aulas V – Laboratório de Química</t>
  </si>
  <si>
    <t xml:space="preserve">Recepção </t>
  </si>
  <si>
    <t xml:space="preserve">Laboratório de manutenção de informática</t>
  </si>
  <si>
    <t xml:space="preserve">1,30X0,60</t>
  </si>
  <si>
    <t xml:space="preserve">Laboratório de Informática</t>
  </si>
  <si>
    <t xml:space="preserve">2,80X0,40</t>
  </si>
  <si>
    <t xml:space="preserve">Sala de videoconferência</t>
  </si>
  <si>
    <t xml:space="preserve">1,60X0,80</t>
  </si>
  <si>
    <t xml:space="preserve">Sala de Climatologia / Física</t>
  </si>
  <si>
    <t xml:space="preserve">2,90X1,20</t>
  </si>
  <si>
    <t xml:space="preserve">Laboratório de Análise de alimentos</t>
  </si>
  <si>
    <t xml:space="preserve">Laboratório de Biologia</t>
  </si>
  <si>
    <t xml:space="preserve">1,40X1,20</t>
  </si>
  <si>
    <t xml:space="preserve">Setor de Tecnologia da Informação (T. I.)</t>
  </si>
  <si>
    <t xml:space="preserve">Área interna</t>
  </si>
  <si>
    <t xml:space="preserve">Total Janelas</t>
  </si>
  <si>
    <t xml:space="preserve">Total Janelas com situação de risco</t>
  </si>
  <si>
    <t xml:space="preserve">Total Portas</t>
  </si>
  <si>
    <t xml:space="preserve">Bloco de Sala de Aula I - Técnico em Agropecuária</t>
  </si>
  <si>
    <t xml:space="preserve">Área interna (Salas de aula)</t>
  </si>
  <si>
    <t xml:space="preserve">Laboratório de Matemática</t>
  </si>
  <si>
    <t xml:space="preserve">Bloco de Salas da Aula II e Coordenações</t>
  </si>
  <si>
    <t xml:space="preserve">Salas de aulas</t>
  </si>
  <si>
    <t xml:space="preserve">Coordenação Cursos Superiores</t>
  </si>
  <si>
    <t xml:space="preserve">Coordenação Cursos Técnicos</t>
  </si>
  <si>
    <t xml:space="preserve">Bloco de Sala de Aula III - Processos Gerenciais/Agronomia</t>
  </si>
  <si>
    <t xml:space="preserve">Salas de aula</t>
  </si>
  <si>
    <t xml:space="preserve">Sala 04 (Laboratório de Informática)</t>
  </si>
  <si>
    <t xml:space="preserve">Bloco de Sala de Aula IV - Agronomia</t>
  </si>
  <si>
    <t xml:space="preserve">Bloco de Sala de Aula V - Laboratório de Química</t>
  </si>
  <si>
    <t xml:space="preserve">Área interna Sala de aula</t>
  </si>
  <si>
    <t xml:space="preserve">Área interna Laboratório de Química</t>
  </si>
  <si>
    <t xml:space="preserve">Bloco de Sala de Aula VI – Salas modulares</t>
  </si>
  <si>
    <t xml:space="preserve">Calçamento – Obra de Passarelas</t>
  </si>
  <si>
    <t xml:space="preserve">Passarelas e área de convivência</t>
  </si>
  <si>
    <t xml:space="preserve">Área em M²</t>
  </si>
  <si>
    <t xml:space="preserve">Interna</t>
  </si>
  <si>
    <t xml:space="preserve">Externa</t>
  </si>
  <si>
    <t xml:space="preserve">Esquadrias
Janelas</t>
  </si>
  <si>
    <t xml:space="preserve">Esquadrias
Janelas c/ risco</t>
  </si>
  <si>
    <t xml:space="preserve">Esquadrias Portas</t>
  </si>
  <si>
    <t xml:space="preserve">Quantidade de Postos de Trabalho</t>
  </si>
  <si>
    <t xml:space="preserve">Descrição</t>
  </si>
  <si>
    <t xml:space="preserve">Tipo de Área</t>
  </si>
  <si>
    <t xml:space="preserve">Frequência de Limpeza / Mês</t>
  </si>
  <si>
    <t xml:space="preserve">Área (M²)</t>
  </si>
  <si>
    <t xml:space="preserve">Área Limpa / Mês
(M²)</t>
  </si>
  <si>
    <t xml:space="preserve">Área Limpa / Dia
(M²)</t>
  </si>
  <si>
    <t xml:space="preserve">Número de Postos Necessários ESCOLHIDA (CUSTOMIZADA)</t>
  </si>
  <si>
    <r>
      <rPr>
        <b val="true"/>
        <sz val="11"/>
        <color rgb="FF000000"/>
        <rFont val="Times New Roman"/>
        <family val="1"/>
      </rPr>
      <t xml:space="preserve">Áreas Internas:</t>
    </r>
    <r>
      <rPr>
        <sz val="11"/>
        <color rgb="FF000000"/>
        <rFont val="Times New Roman"/>
        <family val="1"/>
      </rPr>
      <t xml:space="preserve">  Pisos frios: 800 m² a 1200 m2  (referência IN05/2017) Média igual a 1000m²)</t>
    </r>
  </si>
  <si>
    <t xml:space="preserve">PISOS FRIOS
(limpeza 1x dia)</t>
  </si>
  <si>
    <t xml:space="preserve">PISOS FRIOS
(limpeza 2x dia)</t>
  </si>
  <si>
    <r>
      <rPr>
        <b val="true"/>
        <sz val="11"/>
        <color rgb="FF000000"/>
        <rFont val="Times New Roman"/>
        <family val="1"/>
      </rPr>
      <t xml:space="preserve">Áreas Internas:</t>
    </r>
    <r>
      <rPr>
        <sz val="11"/>
        <color rgb="FFCE181E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 xml:space="preserve"> Banheiro: 200 m² a 300 m2  (referência IN05/2017) Média igual a 250m²)</t>
    </r>
  </si>
  <si>
    <t xml:space="preserve">BANHEIROS
(frequência 2x dia)</t>
  </si>
  <si>
    <r>
      <rPr>
        <b val="true"/>
        <sz val="11"/>
        <color rgb="FF000000"/>
        <rFont val="Times New Roman"/>
        <family val="1"/>
      </rPr>
      <t xml:space="preserve">Áreas Internas:</t>
    </r>
    <r>
      <rPr>
        <sz val="11"/>
        <color rgb="FF000000"/>
        <rFont val="Times New Roman"/>
        <family val="1"/>
      </rPr>
      <t xml:space="preserve">  Laboratórios e área hospitalares: 360 m² a 450 m2  (referência IN05/2017) Média igual a 405m²</t>
    </r>
  </si>
  <si>
    <t xml:space="preserve">LABORATÓRIOS
(frequência 3x semana)</t>
  </si>
  <si>
    <t xml:space="preserve">ÁREAS HOSPITALARES
(frequência 1x dia)</t>
  </si>
  <si>
    <r>
      <rPr>
        <b val="true"/>
        <sz val="11"/>
        <color rgb="FF000000"/>
        <rFont val="Times New Roman"/>
        <family val="1"/>
      </rPr>
      <t xml:space="preserve">Áreas Internas:</t>
    </r>
    <r>
      <rPr>
        <sz val="11"/>
        <color rgb="FF000000"/>
        <rFont val="Times New Roman"/>
        <family val="1"/>
      </rPr>
      <t xml:space="preserve">  Almoxarifados/galpões: 1500 m² a 2500 m2  (referência IN05/2017) Média igual a 2000m²</t>
    </r>
  </si>
  <si>
    <t xml:space="preserve">ALMOXARIFADO / GALPÃO
(limpeza 2x semana)</t>
  </si>
  <si>
    <r>
      <rPr>
        <b val="true"/>
        <sz val="11"/>
        <color rgb="FF000000"/>
        <rFont val="Times New Roman"/>
        <family val="1"/>
      </rPr>
      <t xml:space="preserve">Áreas Internas: </t>
    </r>
    <r>
      <rPr>
        <sz val="11"/>
        <color rgb="FF000000"/>
        <rFont val="Times New Roman"/>
        <family val="1"/>
      </rPr>
      <t xml:space="preserve"> Oficinas: 1200 m² a 1800 m2  (referência IN05/2017) Média igual a 1500m²</t>
    </r>
  </si>
  <si>
    <t xml:space="preserve">OFICINAS
(limpeza 1x semana)</t>
  </si>
  <si>
    <r>
      <rPr>
        <b val="true"/>
        <sz val="11"/>
        <color rgb="FF000000"/>
        <rFont val="Times New Roman"/>
        <family val="1"/>
      </rPr>
      <t xml:space="preserve">Áreas Internas:</t>
    </r>
    <r>
      <rPr>
        <sz val="11"/>
        <color rgb="FFCE181E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 xml:space="preserve"> Áreas com espaço livre: 1000 m² a 1500 m2  (referência IN05/2017) Média igual a 1250m²</t>
    </r>
  </si>
  <si>
    <t xml:space="preserve">ÁREAS COM ESPAÇOS LIVRES
(saguão, hall e salão)
(limpeza 1x semana)</t>
  </si>
  <si>
    <r>
      <rPr>
        <b val="true"/>
        <sz val="11"/>
        <color rgb="FF000000"/>
        <rFont val="Times New Roman"/>
        <family val="1"/>
      </rPr>
      <t xml:space="preserve">Áreas Externa:</t>
    </r>
    <r>
      <rPr>
        <sz val="11"/>
        <color rgb="FF000000"/>
        <rFont val="Times New Roman"/>
        <family val="1"/>
      </rPr>
      <t xml:space="preserve">  Piso pavimentado  frequência: 1800 m² a 2700 m2  (referência IN05/2017) Média igual a 2250m²</t>
    </r>
  </si>
  <si>
    <t xml:space="preserve">PISO PAVIMENTADOS
(limpeza 1x semana)</t>
  </si>
  <si>
    <r>
      <rPr>
        <b val="true"/>
        <sz val="11"/>
        <color rgb="FF000000"/>
        <rFont val="Times New Roman"/>
        <family val="1"/>
      </rPr>
      <t xml:space="preserve">Esquadrias: </t>
    </r>
    <r>
      <rPr>
        <sz val="11"/>
        <color rgb="FF000000"/>
        <rFont val="Times New Roman"/>
        <family val="1"/>
      </rPr>
      <t xml:space="preserve"> face interna e externa sem exposição a situação de risco: 300 m² a 380 m²  (referência IN05/2017) Média igual a 340m²</t>
    </r>
  </si>
  <si>
    <t xml:space="preserve">ESQUADRIAS INTERNAS
(limpeza 1x semana)</t>
  </si>
  <si>
    <t xml:space="preserve">ESQUADRIAS EXTERNAS
(limpeza 1x semana)</t>
  </si>
  <si>
    <r>
      <rPr>
        <b val="true"/>
        <sz val="11"/>
        <color rgb="FF000000"/>
        <rFont val="Times New Roman"/>
        <family val="1"/>
      </rPr>
      <t xml:space="preserve">Esquadrias:</t>
    </r>
    <r>
      <rPr>
        <sz val="11"/>
        <color rgb="FF000000"/>
        <rFont val="Times New Roman"/>
        <family val="1"/>
      </rPr>
      <t xml:space="preserve">  face externa com exposição a situação de risco: 130 m² a 160 m²  (referência IN05/2017) Média igual a 145m²</t>
    </r>
  </si>
  <si>
    <t xml:space="preserve">ESQUADRIAS EXTERNAS – com risco
(limpeza 1x semana)</t>
  </si>
  <si>
    <t xml:space="preserve">PLANILHA DE CUSTOS E FORMAÇÃO DE PREÇOS</t>
  </si>
  <si>
    <t xml:space="preserve">SERVENTE DE LIMPEZA  (44 HORAS de segunda a sábado)</t>
  </si>
  <si>
    <t xml:space="preserve">Pregão Eletrônico nº 44/2021</t>
  </si>
  <si>
    <t xml:space="preserve">Processo Nº 23192.000421.2021-69</t>
  </si>
  <si>
    <t xml:space="preserve"> DISCRIMINAÇÃO DOS SERVIÇOS (DADOS REFERENTES À CONTRATAÇÃO)</t>
  </si>
  <si>
    <t xml:space="preserve">A</t>
  </si>
  <si>
    <t xml:space="preserve">Data de apresentação da proposta (dia/mês/ano)</t>
  </si>
  <si>
    <t xml:space="preserve">B</t>
  </si>
  <si>
    <t xml:space="preserve">Município/UF</t>
  </si>
  <si>
    <t xml:space="preserve">Campo Novo do Parecis/MT</t>
  </si>
  <si>
    <t xml:space="preserve">C</t>
  </si>
  <si>
    <t xml:space="preserve">Ano Acordo, Convenção ou Sentença Normativa em Dissídio Coletivo</t>
  </si>
  <si>
    <t xml:space="preserve">MT000060/2021</t>
  </si>
  <si>
    <t xml:space="preserve">D</t>
  </si>
  <si>
    <t xml:space="preserve">Nº de meses de execução contratual</t>
  </si>
  <si>
    <t xml:space="preserve">IDENTIFICAÇÃO DOS SERVIÇOS</t>
  </si>
  <si>
    <t xml:space="preserve"> Tipo de Serviço</t>
  </si>
  <si>
    <t xml:space="preserve">Limpeza e Conservação</t>
  </si>
  <si>
    <t xml:space="preserve">MÓDULOS</t>
  </si>
  <si>
    <t xml:space="preserve"> Mão-de-obra vinculada à execução contratual</t>
  </si>
  <si>
    <t xml:space="preserve">Dados complementares para composição dos custos referente à mão-de-obra</t>
  </si>
  <si>
    <t xml:space="preserve">Tipo de serviço (mesmo serviço com características distintas)</t>
  </si>
  <si>
    <t xml:space="preserve">Classificação Brasileira de Ocupações (CBO)</t>
  </si>
  <si>
    <t xml:space="preserve">5143-20</t>
  </si>
  <si>
    <t xml:space="preserve">Salário Normativo da Categoria Profissional</t>
  </si>
  <si>
    <t xml:space="preserve">Categoria profissional (vinculada à execução contratual)</t>
  </si>
  <si>
    <t xml:space="preserve">Data base da categoria (dia/mês/ano)</t>
  </si>
  <si>
    <t xml:space="preserve">MÓDULO 1 :   COMPOSIÇÃO DA REMUNERAÇÃO</t>
  </si>
  <si>
    <t xml:space="preserve">Composição da Remuneração</t>
  </si>
  <si>
    <t xml:space="preserve">Valor (R$)</t>
  </si>
  <si>
    <t xml:space="preserve">Salário Base</t>
  </si>
  <si>
    <t xml:space="preserve">Adicional  de periculosidade</t>
  </si>
  <si>
    <t xml:space="preserve">Adicional  de insalubridade</t>
  </si>
  <si>
    <r>
      <rPr>
        <sz val="10"/>
        <color rgb="FF000000"/>
        <rFont val="Arial"/>
        <family val="0"/>
      </rPr>
      <t xml:space="preserve">Adicional noturno e hora noturna roduzida - </t>
    </r>
    <r>
      <rPr>
        <b val="true"/>
        <sz val="10"/>
        <color rgb="FF000000"/>
        <rFont val="Arial"/>
        <family val="0"/>
      </rPr>
      <t xml:space="preserve">(((((Sal. Base+Periculosidade ou insalubridade+gratificações/180)*20%))*qtd horas noturnas)*qtd dias com adicional noturno)</t>
    </r>
  </si>
  <si>
    <t xml:space="preserve">E</t>
  </si>
  <si>
    <r>
      <rPr>
        <sz val="10"/>
        <color rgb="FF000000"/>
        <rFont val="Arial"/>
        <family val="0"/>
      </rPr>
      <t xml:space="preserve">Intervalo Intrajornada - </t>
    </r>
    <r>
      <rPr>
        <b val="true"/>
        <sz val="10"/>
        <color rgb="FF000000"/>
        <rFont val="Arial"/>
        <family val="0"/>
      </rPr>
      <t xml:space="preserve">[((Salario base+ad.Insalu/peric.+gratificações/180ou220)+( ad. Noturno e hora noturna red./120))*1,5]*qtd. dias trab. sem concessão do intervalo</t>
    </r>
  </si>
  <si>
    <t xml:space="preserve">F</t>
  </si>
  <si>
    <r>
      <rPr>
        <sz val="10"/>
        <color rgb="FF000000"/>
        <rFont val="Arial"/>
        <family val="0"/>
      </rPr>
      <t xml:space="preserve">Horas extras - </t>
    </r>
    <r>
      <rPr>
        <b val="true"/>
        <sz val="10"/>
        <color rgb="FF000000"/>
        <rFont val="Arial"/>
        <family val="0"/>
      </rPr>
      <t xml:space="preserve">[(verbas de natureza salarial/220ou180)+((verbas de natureza salarial/220 ou 180hs)*50% ou 100%)]  * quantidade de horas extras</t>
    </r>
  </si>
  <si>
    <t xml:space="preserve">G</t>
  </si>
  <si>
    <r>
      <rPr>
        <sz val="10"/>
        <color rgb="FF000000"/>
        <rFont val="Arial"/>
        <family val="0"/>
      </rPr>
      <t xml:space="preserve">Reflexo no DSR - </t>
    </r>
    <r>
      <rPr>
        <b val="true"/>
        <sz val="10"/>
        <color rgb="FF000000"/>
        <rFont val="Arial"/>
        <family val="0"/>
      </rPr>
      <t xml:space="preserve">{[(valor das horas extras) ÷ nº de dias úteis do mês] x nº RSR do mês}</t>
    </r>
  </si>
  <si>
    <t xml:space="preserve">H</t>
  </si>
  <si>
    <t xml:space="preserve">Outros - Gratificação por ASSIDUIDADE</t>
  </si>
  <si>
    <t xml:space="preserve">I</t>
  </si>
  <si>
    <t xml:space="preserve">Outros - Gratificação por FUNÇÃO</t>
  </si>
  <si>
    <t xml:space="preserve">TOTAL DA REMUNERAÇÃO (A+B+C+D+E+F+G+H+I)</t>
  </si>
  <si>
    <t xml:space="preserve">Nota1:  O Módulo 1 refere-se ao valor mensal devido ao empegado pela prestação do serviço no período de 12 meses.</t>
  </si>
  <si>
    <t xml:space="preserve">MÓDULO 2: ENCARGOS E BENEFÍCIOS ANUAIS, MENSAIS E DIÁRIOS</t>
  </si>
  <si>
    <t xml:space="preserve">SUBMÓDULO 2.1: 13º (décimo terceiro) Salário e Adicional de Férias</t>
  </si>
  <si>
    <t xml:space="preserve">2.1</t>
  </si>
  <si>
    <t xml:space="preserve">13º (décimo terceiro) Salário, Férias e Adicional de Férias</t>
  </si>
  <si>
    <r>
      <rPr>
        <sz val="10"/>
        <color rgb="FF000000"/>
        <rFont val="Arial"/>
        <family val="0"/>
      </rPr>
      <t xml:space="preserve">13º (décimo terceiro) Salário - </t>
    </r>
    <r>
      <rPr>
        <b val="true"/>
        <sz val="10"/>
        <color rgb="FF000000"/>
        <rFont val="Arial"/>
        <family val="0"/>
      </rPr>
      <t xml:space="preserve">(remuneração x 8,33%)</t>
    </r>
  </si>
  <si>
    <t xml:space="preserve">CONTA VINCULADA</t>
  </si>
  <si>
    <r>
      <rPr>
        <sz val="10"/>
        <color rgb="FF000000"/>
        <rFont val="Arial"/>
        <family val="0"/>
      </rPr>
      <t xml:space="preserve">Adicional de Férias - </t>
    </r>
    <r>
      <rPr>
        <b val="true"/>
        <sz val="10"/>
        <color rgb="FF000000"/>
        <rFont val="Arial"/>
        <family val="0"/>
      </rPr>
      <t xml:space="preserve">(remuneração x 0,0278)</t>
    </r>
  </si>
  <si>
    <t xml:space="preserve">SUBTOTAL (A+B)</t>
  </si>
  <si>
    <r>
      <rPr>
        <sz val="10"/>
        <color rgb="FF000000"/>
        <rFont val="Arial"/>
        <family val="0"/>
      </rPr>
      <t xml:space="preserve">Incidência do submódulo 2.2 no 13º e adicional de férias - </t>
    </r>
    <r>
      <rPr>
        <b val="true"/>
        <sz val="10"/>
        <color rgb="FF000000"/>
        <rFont val="Arial"/>
        <family val="0"/>
      </rPr>
      <t xml:space="preserve">(A+B)x%do submódulo 2.2</t>
    </r>
  </si>
  <si>
    <t xml:space="preserve">TOTAL DE 13º (DÉCIMO TERCEIRO) SALÁRIO E ADICIONAL DE FÉRIAS (A+B+C)</t>
  </si>
  <si>
    <t xml:space="preserve">Nota 1:  Como a planilha de custos e formação de preços é calculada mensalmente, provisiona-se proporcionalmente 1/12 (um doze avos) dos valores referentes à gratificação natalina e adicional de férias.
Nota 2:  O adicional de férias contido no Submódulo 2.1 corresponde a 1/3 (um terço) da remuneração que por sua vez é dividido por 12 (doze) conforme Nota 1 acima.</t>
  </si>
  <si>
    <t xml:space="preserve">SUBMÓDULO 2.2: Encargos Previdenciários (GPS), Fundo de Garantia por Tempo de Serviço (FGTS) e outras contribuições.</t>
  </si>
  <si>
    <t xml:space="preserve">2.2</t>
  </si>
  <si>
    <t xml:space="preserve">GPS, FGTS e outras contribuições</t>
  </si>
  <si>
    <t xml:space="preserve">Percentual (%)</t>
  </si>
  <si>
    <t xml:space="preserve">INSS (Art. 22, Inciso I, da Lei nº 8.212/91)</t>
  </si>
  <si>
    <t xml:space="preserve">Salário Educação (Art. 3º, Inciso I, Decreto n.º 87.043/82)</t>
  </si>
  <si>
    <t xml:space="preserve">SAT (RAT X FAP)</t>
  </si>
  <si>
    <t xml:space="preserve">SESC ou SESI  (Art. 3º, Lei n.º 8.036/90)</t>
  </si>
  <si>
    <t xml:space="preserve">SENAI - SENAC (Decreto n.º 2.318/86)</t>
  </si>
  <si>
    <t xml:space="preserve">SEBRAE (Art. 8º, Lei n.º 8.029/90 e Lei n.º 8.154/90)</t>
  </si>
  <si>
    <t xml:space="preserve">INCRA (Lei n.º 7.787/89 e DL n.º 1.146/70)</t>
  </si>
  <si>
    <t xml:space="preserve">FGTS (Art. 15, Lei nº 8.030/90 e Art. 7º, III, CF)</t>
  </si>
  <si>
    <t xml:space="preserve">TOTAL GPS, FGTS E OUTRAS CONTRIBUIÇÕES (A+B+C+D+E+F+G+H)</t>
  </si>
  <si>
    <t xml:space="preserve">SUBMÓDULO 2.3: Benefícios Mensais e Diários</t>
  </si>
  <si>
    <t xml:space="preserve">2.3</t>
  </si>
  <si>
    <t xml:space="preserve">Benefícios  Mensais e Diários</t>
  </si>
  <si>
    <t xml:space="preserve">Transporte (Lei 7.418 de 16.dez.1985) (Passagem R$ 6)</t>
  </si>
  <si>
    <t xml:space="preserve">Auxílio alimentação </t>
  </si>
  <si>
    <t xml:space="preserve">Programa de Assistência Social, Ocupacional e Lazer para empregados do segmento</t>
  </si>
  <si>
    <t xml:space="preserve">Auxílio creche</t>
  </si>
  <si>
    <t xml:space="preserve">Seguro de Vida, Exames Ocupacionais, Tratamento Odontológicos Básicos Preventivos, PCMSO e PPRA (CCT/2021-SEAC/MT Cláusula 51ª)</t>
  </si>
  <si>
    <t xml:space="preserve">Outros: Prêmio Cesta Básica a Título de Assiduidade (Cláusula 9.ª CCT/2021-SEAC-MT)</t>
  </si>
  <si>
    <t xml:space="preserve">Associação Escola</t>
  </si>
  <si>
    <t xml:space="preserve">TOTAL BENEFÍCIOS  MENSAIS E DIÁRIOS (A+B+C+D+E+F+G)</t>
  </si>
  <si>
    <t xml:space="preserve">Nota 1: o valor informado deverá ser o custo real do insumo (descontado o valor eventualmente pago pelo empregado).
Nota 2: Observar a previsão dos benefícios contidos em Acordos, Convenções e Dissídios Coletivos de Trabalho e atentar-se ao disposto no artigo 6º da Instrução Normativa SEGES/MPDG nº 05/2017.</t>
  </si>
  <si>
    <t xml:space="preserve">Quadro-Resumo do Módulo 2 - Encargos e Benefícios anuais, mensais e diários</t>
  </si>
  <si>
    <t xml:space="preserve">Encargos e Benefícios Anuais, Mensais e Diários</t>
  </si>
  <si>
    <t xml:space="preserve">TOTAL ENCARGOS BENEFÍCIOS ANUAIS, MENSAIS E DIÁRIOS</t>
  </si>
  <si>
    <t xml:space="preserve">MÓDULO 3: PROVISÃO PARA RESCISÃO</t>
  </si>
  <si>
    <t xml:space="preserve">Provisão para Rescisão</t>
  </si>
  <si>
    <r>
      <rPr>
        <sz val="10"/>
        <color rgb="FF000000"/>
        <rFont val="Arial"/>
        <family val="0"/>
      </rPr>
      <t xml:space="preserve">Aviso Prévio Indenizado - </t>
    </r>
    <r>
      <rPr>
        <b val="true"/>
        <sz val="10"/>
        <color rgb="FF000000"/>
        <rFont val="Arial"/>
        <family val="0"/>
      </rPr>
      <t xml:space="preserve">{Rem/12 + 13º/12=(Rem/12)/12 + Férias/12=(Rem/12)/12 + (1/3xFérias)/12=1/3x[(Rem/12)/12]} x (30/30=1) x 5% de rotatividade anual - Os reflexos de 13º, F e 1/3F são referentes a 1 mês de APInd - Na prorrogação, poderão ser considerados 3 dias conforme Lei nº 12.506/2011, dependendo da análise do nº de ocorrências deste evento no período.</t>
    </r>
  </si>
  <si>
    <r>
      <rPr>
        <sz val="10"/>
        <color rgb="FF000000"/>
        <rFont val="Arial"/>
        <family val="0"/>
      </rPr>
      <t xml:space="preserve">Incidência do FGTS sobre o Aviso Prévio Indenizado - </t>
    </r>
    <r>
      <rPr>
        <b val="true"/>
        <sz val="10"/>
        <color rgb="FF000000"/>
        <rFont val="Arial"/>
        <family val="0"/>
      </rPr>
      <t xml:space="preserve">(Aviso Prévio Indenizado * 8% FGTS)</t>
    </r>
  </si>
  <si>
    <r>
      <rPr>
        <sz val="10"/>
        <color rgb="FF000000"/>
        <rFont val="Arial"/>
        <family val="0"/>
      </rPr>
      <t xml:space="preserve">Multa do FGTS sobre o Aviso Prévio Indenizado - </t>
    </r>
    <r>
      <rPr>
        <b val="true"/>
        <sz val="10"/>
        <color rgb="FF000000"/>
        <rFont val="Arial"/>
        <family val="0"/>
      </rPr>
      <t xml:space="preserve">(multa 40%)</t>
    </r>
  </si>
  <si>
    <r>
      <rPr>
        <sz val="10"/>
        <color rgb="FF000000"/>
        <rFont val="Arial"/>
        <family val="0"/>
      </rPr>
      <t xml:space="preserve">Aviso Prévio Trabalhado - </t>
    </r>
    <r>
      <rPr>
        <b val="true"/>
        <sz val="10"/>
        <color rgb="FF000000"/>
        <rFont val="Arial"/>
        <family val="0"/>
      </rPr>
      <t xml:space="preserve">(Rem/12)/30)x7)x100% ou 1,94%</t>
    </r>
  </si>
  <si>
    <r>
      <rPr>
        <sz val="10"/>
        <color rgb="FF000000"/>
        <rFont val="Arial"/>
        <family val="0"/>
      </rPr>
      <t xml:space="preserve">Incidência dos encargos do submódulo 2.2 sobre o Aviso Prévio
Trabalhado - </t>
    </r>
    <r>
      <rPr>
        <b val="true"/>
        <sz val="10"/>
        <color rgb="FF000000"/>
        <rFont val="Arial"/>
        <family val="0"/>
      </rPr>
      <t xml:space="preserve">(Aviso Prévio Trabalhado) x % do Submódulo 2.2</t>
    </r>
  </si>
  <si>
    <r>
      <rPr>
        <sz val="10"/>
        <color rgb="FF000000"/>
        <rFont val="Arial"/>
        <family val="0"/>
      </rPr>
      <t xml:space="preserve">Multa do FGTS sobre o Aviso Prévio Trabalhado - </t>
    </r>
    <r>
      <rPr>
        <b val="true"/>
        <sz val="10"/>
        <color rgb="FF000000"/>
        <rFont val="Arial"/>
        <family val="0"/>
      </rPr>
      <t xml:space="preserve"> [40%x8%x(Rem+13º+Férias+1/3xFérias)]x100% dos empregados</t>
    </r>
  </si>
  <si>
    <t xml:space="preserve">TOTAL PROVISÃO PARA RESCISÃO</t>
  </si>
  <si>
    <t xml:space="preserve">MÓDULO 4: CUSTO DE REPOSIÇÃO DE PROFISSIONAL AUSENTE</t>
  </si>
  <si>
    <t xml:space="preserve">Nota 1: Os itens que contemplam o módulo 4 se referem ao custo dos dias trabalhados pelo repositor/substituto que por ventura venha cobrir o empregado nos casos de Ausências Legais (Submódulo 4.1) e/ou na Intrajornada (Submódulo 4.2) a depender da prestação do serviço.
Nota 2: Haverá a incidência do Submódulo 2.2 sobre esse módulo.</t>
  </si>
  <si>
    <t xml:space="preserve">Base de cálculo para o Custo de Reposição do Profissional Ausente (substituto): BCCPA = Rem + 13º + Férias + 1/3Férias (exceto para Afast Mat, que é a Remuneração)
Conforme Item 89 do Relatório do Acórdão TCU nº 1.753/2008 do Plenário e Orientações da SEGES/MPDG</t>
  </si>
  <si>
    <t xml:space="preserve">SUBMÓDULO 4.1: Ausências legais</t>
  </si>
  <si>
    <t xml:space="preserve">4.1</t>
  </si>
  <si>
    <t xml:space="preserve">Ausências Legais</t>
  </si>
  <si>
    <r>
      <rPr>
        <sz val="10"/>
        <color rgb="FF000000"/>
        <rFont val="Arial"/>
        <family val="0"/>
      </rPr>
      <t xml:space="preserve">Férias </t>
    </r>
    <r>
      <rPr>
        <b val="true"/>
        <sz val="10"/>
        <color rgb="FF000000"/>
        <rFont val="Arial"/>
        <family val="0"/>
      </rPr>
      <t xml:space="preserve">- (BCCPA x(1/12))</t>
    </r>
  </si>
  <si>
    <r>
      <rPr>
        <sz val="10"/>
        <color rgb="FF000000"/>
        <rFont val="Arial"/>
        <family val="0"/>
      </rPr>
      <t xml:space="preserve">Ausências legais - </t>
    </r>
    <r>
      <rPr>
        <b val="true"/>
        <sz val="10"/>
        <color rgb="FF000000"/>
        <rFont val="Arial"/>
        <family val="0"/>
      </rPr>
      <t xml:space="preserve">((BCCPA/30/12)x1 dia</t>
    </r>
  </si>
  <si>
    <r>
      <rPr>
        <sz val="10"/>
        <color rgb="FF000000"/>
        <rFont val="Arial"/>
        <family val="0"/>
      </rPr>
      <t xml:space="preserve">Licença paternidade - </t>
    </r>
    <r>
      <rPr>
        <b val="true"/>
        <sz val="10"/>
        <color rgb="FF000000"/>
        <rFont val="Arial"/>
        <family val="0"/>
      </rPr>
      <t xml:space="preserve">((BCCPA/30/12)x5 dias)x1,5%</t>
    </r>
  </si>
  <si>
    <r>
      <rPr>
        <sz val="10"/>
        <color rgb="FF000000"/>
        <rFont val="Arial"/>
        <family val="0"/>
      </rPr>
      <t xml:space="preserve">Ausências por acidente de trabalho - </t>
    </r>
    <r>
      <rPr>
        <b val="true"/>
        <sz val="10"/>
        <color rgb="FF000000"/>
        <rFont val="Arial"/>
        <family val="0"/>
      </rPr>
      <t xml:space="preserve">((BCCPA/30/12)x30 dias)x8%</t>
    </r>
  </si>
  <si>
    <r>
      <rPr>
        <sz val="10"/>
        <color rgb="FF000000"/>
        <rFont val="Arial"/>
        <family val="0"/>
      </rPr>
      <t xml:space="preserve">Outros – Ex. Ausência por doença - </t>
    </r>
    <r>
      <rPr>
        <b val="true"/>
        <sz val="10"/>
        <color rgb="FF000000"/>
        <rFont val="Arial"/>
        <family val="0"/>
      </rPr>
      <t xml:space="preserve">(BCCPA/30/12)x5 diasx40%</t>
    </r>
  </si>
  <si>
    <r>
      <rPr>
        <sz val="10"/>
        <color rgb="FF000000"/>
        <rFont val="Arial"/>
        <family val="0"/>
      </rPr>
      <t xml:space="preserve">Incidência dos Encargos do Submódulo 2.2 sobre as ausências legais - </t>
    </r>
    <r>
      <rPr>
        <b val="true"/>
        <sz val="10"/>
        <color rgb="FF000000"/>
        <rFont val="Arial"/>
        <family val="0"/>
      </rPr>
      <t xml:space="preserve">(A+B+C+D+E) x % do submódulo 2.2</t>
    </r>
  </si>
  <si>
    <r>
      <rPr>
        <sz val="10"/>
        <color rgb="FF000000"/>
        <rFont val="Arial"/>
        <family val="0"/>
      </rPr>
      <t xml:space="preserve">Afastamento Maternidade (Férias pagas ao substituto pelos 120 dias de reposição) - </t>
    </r>
    <r>
      <rPr>
        <b val="true"/>
        <sz val="10"/>
        <color rgb="FF000000"/>
        <rFont val="Arial"/>
        <family val="0"/>
      </rPr>
      <t xml:space="preserve">(((Remuneração+(Remuneração ÷ 3)) x (4/12)) ÷ 12) x 2%</t>
    </r>
  </si>
  <si>
    <r>
      <rPr>
        <sz val="10"/>
        <color rgb="FF000000"/>
        <rFont val="Arial"/>
        <family val="0"/>
      </rPr>
      <t xml:space="preserve">Incidência dos encargos do submódulo 2.2 sobre as férias pagas ao substituto pelos 120 dias de reposição - </t>
    </r>
    <r>
      <rPr>
        <b val="true"/>
        <sz val="10"/>
        <color rgb="FF000000"/>
        <rFont val="Arial"/>
        <family val="0"/>
      </rPr>
      <t xml:space="preserve">(férias pagas ao substituto pelos 120 dias de reposição) x % do submódulo 2.2</t>
    </r>
  </si>
  <si>
    <r>
      <rPr>
        <sz val="10"/>
        <color rgb="FF000000"/>
        <rFont val="Arial"/>
        <family val="0"/>
      </rPr>
      <t xml:space="preserve">Incidência do submódulo 2.2 sobre remuneração e 13º salário proporcionais aos 120 dias de reposição - </t>
    </r>
    <r>
      <rPr>
        <b val="true"/>
        <sz val="10"/>
        <color rgb="FF000000"/>
        <rFont val="Arial"/>
        <family val="0"/>
      </rPr>
      <t xml:space="preserve">(((rem + (rem ÷ 12)) x (4÷12)) x 2%) x % do submódulo 2.2</t>
    </r>
  </si>
  <si>
    <t xml:space="preserve">TOTAL AUSÊNCIAS LEGAIS (A+B+C+D+E+F)</t>
  </si>
  <si>
    <t xml:space="preserve">SUBMÓDULO 4.2: Intrajornada</t>
  </si>
  <si>
    <t xml:space="preserve">4.2</t>
  </si>
  <si>
    <t xml:space="preserve">Intrajornada</t>
  </si>
  <si>
    <t xml:space="preserve">Intervalo para repouso ou alimentação</t>
  </si>
  <si>
    <t xml:space="preserve">TOTAL INTRAJORNADA (A)</t>
  </si>
  <si>
    <t xml:space="preserve">Quadro-Resumo do Módulo 4 - Custo de Reposição do Profissional Ausente</t>
  </si>
  <si>
    <t xml:space="preserve">Ausências legais</t>
  </si>
  <si>
    <t xml:space="preserve">MÓDULO 5: INSUMOS DIVERSOS</t>
  </si>
  <si>
    <t xml:space="preserve">Insumos Diversos</t>
  </si>
  <si>
    <r>
      <rPr>
        <sz val="10"/>
        <color rgb="FF000000"/>
        <rFont val="Arial"/>
        <family val="0"/>
      </rPr>
      <t xml:space="preserve">Uniformes (pesquisa de mercado) - </t>
    </r>
    <r>
      <rPr>
        <b val="true"/>
        <sz val="10"/>
        <color rgb="FF000000"/>
        <rFont val="Arial"/>
        <family val="0"/>
      </rPr>
      <t xml:space="preserve">Retira-se o valor correspondente ao PIS/COFINS (9,25%) nessa etapa da planilha, visto que será tributado no módulo CITL, evitando assim bitributação.</t>
    </r>
  </si>
  <si>
    <r>
      <rPr>
        <sz val="10"/>
        <color rgb="FF000000"/>
        <rFont val="Arial"/>
        <family val="0"/>
      </rPr>
      <t xml:space="preserve">EPI (pesquisa de mercado)</t>
    </r>
    <r>
      <rPr>
        <b val="true"/>
        <sz val="10"/>
        <color rgb="FF000000"/>
        <rFont val="Arial"/>
        <family val="0"/>
      </rPr>
      <t xml:space="preserve"> - Retira-se o valor correspondente ao PIS/COFINS (9,25%) nessa etapa da planilha, visto que será tributado no módulo CITL, evitando assim bitributação.</t>
    </r>
  </si>
  <si>
    <r>
      <rPr>
        <sz val="10"/>
        <color rgb="FF000000"/>
        <rFont val="Arial"/>
        <family val="0"/>
      </rPr>
      <t xml:space="preserve">Materiais de Consumo e Utensílios (pesquisa de mercado) -  </t>
    </r>
    <r>
      <rPr>
        <b val="true"/>
        <sz val="10"/>
        <color rgb="FF000000"/>
        <rFont val="Arial"/>
        <family val="0"/>
      </rPr>
      <t xml:space="preserve">Retira-se o valor correspondente ao PIS/COFINS (9,25%) nessa etapa da planilha, visto que será tributado no módulo CITL, evitando assim bitributação.</t>
    </r>
  </si>
  <si>
    <r>
      <rPr>
        <sz val="10"/>
        <color rgb="FF000000"/>
        <rFont val="Arial"/>
        <family val="0"/>
      </rPr>
      <t xml:space="preserve">Depreciação e Manutenção de Equipamentos e Ferramentas (pesquisa de mercado) - </t>
    </r>
    <r>
      <rPr>
        <b val="true"/>
        <sz val="10"/>
        <color rgb="FF000000"/>
        <rFont val="Arial"/>
        <family val="0"/>
      </rPr>
      <t xml:space="preserve">Retira-se o valor correspondente ao PIS/COFINS (9,25%) nessa etapa da planilha, visto que será tributado no módulo CITL, evitando assim bitributação.</t>
    </r>
  </si>
  <si>
    <t xml:space="preserve">Outros</t>
  </si>
  <si>
    <t xml:space="preserve">TOTAL DE INSUMOS DIVERSOS</t>
  </si>
  <si>
    <t xml:space="preserve">MÓDULO 6: CUSTOS INDIRETOS, TRIBUTOS E LUCRO</t>
  </si>
  <si>
    <t xml:space="preserve">Custos Indiretos, Tributos e Lucro</t>
  </si>
  <si>
    <t xml:space="preserve">%</t>
  </si>
  <si>
    <t xml:space="preserve">Custos Indiretos</t>
  </si>
  <si>
    <t xml:space="preserve">BASE DE CÁLCULO DOS CUSTOS INDIRETOS 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Diversos)</t>
  </si>
  <si>
    <t xml:space="preserve">Lucro</t>
  </si>
  <si>
    <t xml:space="preserve">BASE DE CÁLCULO DO LUCRO = 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Indiretos)</t>
  </si>
  <si>
    <t xml:space="preserve">Tributos</t>
  </si>
  <si>
    <t xml:space="preserve">BASE DE CÁLCULO DOS TRIBUTOS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 + Lucro)</t>
  </si>
  <si>
    <t xml:space="preserve">C1. Tributos Federais</t>
  </si>
  <si>
    <t xml:space="preserve">C.1.1  PIS</t>
  </si>
  <si>
    <t xml:space="preserve">C.1.2 COFINS</t>
  </si>
  <si>
    <t xml:space="preserve">C.2  Tributos Estaduais</t>
  </si>
  <si>
    <t xml:space="preserve">C.3   Tributos Municipais</t>
  </si>
  <si>
    <t xml:space="preserve">C.3.1 - ISS</t>
  </si>
  <si>
    <t xml:space="preserve">TOTAL</t>
  </si>
  <si>
    <t xml:space="preserve">Nota 1: Custos Indiretos, Lucro e Tributos por empregado.
Nota 2: O valor referente a tributos é obtido aplicando-se o percentual sobre o valor do faturamento.</t>
  </si>
  <si>
    <t xml:space="preserve">2 - QUADRO RESUMO DO CUSTO POR EMPREGADO</t>
  </si>
  <si>
    <t xml:space="preserve">Mão-de-obra vinculada à execução contratual (valor por empregado)</t>
  </si>
  <si>
    <t xml:space="preserve">(R$)</t>
  </si>
  <si>
    <t xml:space="preserve">Módulo 1 – Composição da Remuneração</t>
  </si>
  <si>
    <t xml:space="preserve">Módulo 2 – Encargos e Benefícios Anuais, Mensais e Diários</t>
  </si>
  <si>
    <t xml:space="preserve">Módulo 3 – Provisão para rescisão</t>
  </si>
  <si>
    <t xml:space="preserve">Módulo 4 - Custo de Reposição do Profissional Ausente</t>
  </si>
  <si>
    <t xml:space="preserve">Módulo 5 – Insumos diversos</t>
  </si>
  <si>
    <t xml:space="preserve">Subtotal (A + B +C+ D+E)</t>
  </si>
  <si>
    <t xml:space="preserve">Módulo 6 – Custos indiretos, tributos e lucro</t>
  </si>
  <si>
    <t xml:space="preserve">Valor total por empregado</t>
  </si>
  <si>
    <t xml:space="preserve">SERVENTE DE LIMPEZA  (44 HORAS de segunda a sábado) INSALUBRIDADE</t>
  </si>
  <si>
    <t xml:space="preserve">Limpeza geral sendo prioridade os banheiros ( insalubridade)</t>
  </si>
  <si>
    <t xml:space="preserve">Pregão Eletrônico nº xx/2021</t>
  </si>
  <si>
    <t xml:space="preserve">Processo Nº </t>
  </si>
  <si>
    <t xml:space="preserve">Dia ___/___/_____ às ___:___ horas</t>
  </si>
  <si>
    <t xml:space="preserve">Nºde meses de execução contratual</t>
  </si>
  <si>
    <r>
      <rPr>
        <sz val="10"/>
        <color rgb="FF000000"/>
        <rFont val="Arial"/>
        <family val="0"/>
      </rPr>
      <t xml:space="preserve">Adicional  de insalubridade </t>
    </r>
    <r>
      <rPr>
        <sz val="9"/>
        <color rgb="FF000000"/>
        <rFont val="Arial"/>
        <family val="0"/>
      </rPr>
      <t xml:space="preserve">para limpeza em banheiros públicos (40% sobre salário minimo)</t>
    </r>
  </si>
  <si>
    <t xml:space="preserve">Transporte (Lei 7.418 de 16.dez.1985) (Passagem R$ 3,85)</t>
  </si>
  <si>
    <t xml:space="preserve">Auxílio alimentação (CCT/2021-SEAC/MT-2021=R$ 16,00/dia - Cláusula 15ª, § 1º)</t>
  </si>
  <si>
    <r>
      <rPr>
        <sz val="10"/>
        <color rgb="FF000000"/>
        <rFont val="Arial"/>
        <family val="0"/>
      </rPr>
      <t xml:space="preserve">Multa do FGTS e contribuição social sobre o Aviso Prévio Trabalhado - </t>
    </r>
    <r>
      <rPr>
        <b val="true"/>
        <sz val="10"/>
        <color rgb="FF000000"/>
        <rFont val="Arial"/>
        <family val="0"/>
      </rPr>
      <t xml:space="preserve"> [40%x8%x(Rem+13º+Férias+1/3xFérias)]x100% dos empregados</t>
    </r>
  </si>
  <si>
    <t xml:space="preserve">SERVENTE DE LIMPEZA  (44 HORAS de segunda a sábado) LÍDER DE EQUIPE</t>
  </si>
  <si>
    <t xml:space="preserve">Outros - Gratificação por FUNÇÃO (20% - Líder de equipe de 05 a 10 funcionários)</t>
  </si>
  <si>
    <t xml:space="preserve">ORÇAMENTO PARA ESTIMATIVA DE PREÇOS - EPI E UNIFORMES</t>
  </si>
  <si>
    <t xml:space="preserve">UNIFORMES</t>
  </si>
  <si>
    <t xml:space="preserve">Ordem</t>
  </si>
  <si>
    <t xml:space="preserve">Especificação (nome, tipo, embalagem etc.)</t>
  </si>
  <si>
    <t xml:space="preserve">Unidade Física</t>
  </si>
  <si>
    <t xml:space="preserve">Qtd Ano</t>
  </si>
  <si>
    <t xml:space="preserve">COTAÇÃO</t>
  </si>
  <si>
    <t xml:space="preserve">Valor total</t>
  </si>
  <si>
    <t xml:space="preserve">Camiseta malha fria PV, manga curta, gola V e emblema da empresa.</t>
  </si>
  <si>
    <t xml:space="preserve">Unidade</t>
  </si>
  <si>
    <t xml:space="preserve">Camiseta malha fria PV, manga longa com punho, gola V e emblema da empresa.</t>
  </si>
  <si>
    <t xml:space="preserve">Calça Comprida  confeccionada em tecido em brim,com elástico e cadarço na cintura, bolso somente no quadril.</t>
  </si>
  <si>
    <t xml:space="preserve">Pares de meia em algodão</t>
  </si>
  <si>
    <t xml:space="preserve">Par</t>
  </si>
  <si>
    <t xml:space="preserve">TOTAL ANUAL</t>
  </si>
  <si>
    <t xml:space="preserve">TOTAL MENSAL POR SERVENTE</t>
  </si>
  <si>
    <t xml:space="preserve">SEM O PIS/COFINS</t>
  </si>
  <si>
    <t xml:space="preserve">EPIs</t>
  </si>
  <si>
    <t xml:space="preserve">Sapatos de Segurança, Sapato em EVA com solado antiderrapante, fechado na parte do calcanhar e na parte superior, impermeável, resistente a absorção de energia elétrica, cor preta, em conformidade com NR-32.</t>
  </si>
  <si>
    <t xml:space="preserve">Bota de borracha (Ocupacional)confeccionado em PVC injetado, impermeável, na cor preta, solado antiderrapante, acabamento interior em meia de poliéster, cano médio.</t>
  </si>
  <si>
    <t xml:space="preserve">Luva de látex forrada com palma antiderrapante e cano longo.</t>
  </si>
  <si>
    <t xml:space="preserve">Máscara Descartável para pó confeccionada em TNT (100% polipropileno), dispor lateralmente de dois elásticos roliço recobertos com algodão, em estilo retangular, com no mínimo três pregas. Caixa com 50 unidades.</t>
  </si>
  <si>
    <t xml:space="preserve">Caixa</t>
  </si>
  <si>
    <t xml:space="preserve">Óculos de proteção incolor</t>
  </si>
  <si>
    <t xml:space="preserve">ORÇAMENTO PARA ESTIMATIVA DE PREÇOS - MATERIAIS</t>
  </si>
  <si>
    <t xml:space="preserve">Item</t>
  </si>
  <si>
    <t xml:space="preserve">Qtd. Anual</t>
  </si>
  <si>
    <t xml:space="preserve">Periodicidade</t>
  </si>
  <si>
    <t xml:space="preserve">Valor total Estimado Mensal</t>
  </si>
  <si>
    <t xml:space="preserve">Água sanitária. Solução aquosa a base de hipoclorito de sódio, com função alvejante e desinfetante. Embalagem com impressão do nome do fabricante e indicação de registro ANVISA. Prazo de validade impresso na embalagem e não inferior a 11 meses contados a partir da data de recebimento definitivo.</t>
  </si>
  <si>
    <t xml:space="preserve">Frasco 5000ml</t>
  </si>
  <si>
    <t xml:space="preserve">Mensal</t>
  </si>
  <si>
    <t xml:space="preserve">Álcool Etílico para limpeza(70%). 1L</t>
  </si>
  <si>
    <t xml:space="preserve">Frasco</t>
  </si>
  <si>
    <t xml:space="preserve">Álcool em gel para mãos(70%), frasco com aplicador.</t>
  </si>
  <si>
    <t xml:space="preserve">Galão 500 ML</t>
  </si>
  <si>
    <t xml:space="preserve">Aromatizante para ambiente</t>
  </si>
  <si>
    <t xml:space="preserve">Unid.</t>
  </si>
  <si>
    <t xml:space="preserve">Balde plástico, com capacidade para 12 litros, em polipropileno. Com alça em metal e aro redondo.</t>
  </si>
  <si>
    <t xml:space="preserve">Semestral</t>
  </si>
  <si>
    <t xml:space="preserve">Borrifador plástico 500ml</t>
  </si>
  <si>
    <t xml:space="preserve">Cabo em alumínio adonisado, revestido por luva de polipropileno, comprimento 1,40m e diâmetro de 2,2cm com encaixes e roscas, utilizado como acessório de rodos, vassouras e mop. Conjunto de mop úmido com troca de refil semestral</t>
  </si>
  <si>
    <t xml:space="preserve">Cera, tipo liquida, cor incolor leitoso, composição parafina, cera de polimento, óleo vegetal hidrogenado, características adicionais antiderrapantes, frasco c/ alça, tampa dosadora, aplicação em limpeza de pisos.</t>
  </si>
  <si>
    <t xml:space="preserve">Galão com 5 litros</t>
  </si>
  <si>
    <t xml:space="preserve">Desinfetante, composição à base de fenóis sintéticos: o-benzil-p-clorofenol, principio ativo orto-fenilfenol e p-tércio-butilfenol, forma física solução aquosa concentrada e perfumado; com teores conforme programa de análise do INMETRO  </t>
  </si>
  <si>
    <t xml:space="preserve">Frasco de 1 litro</t>
  </si>
  <si>
    <t xml:space="preserve">Desodorizador sanitário, desinfetante, sólido (pedra sanitária), aromatizado.</t>
  </si>
  <si>
    <t xml:space="preserve">Embalagem de 50gramas</t>
  </si>
  <si>
    <t xml:space="preserve">Detergente de limpeza, composto de agente alcalino, soluente, detergente sintético linear, alquibenzeno, sulfonato de sódio, para remoção de gordura e sujeira em geral, contendo tensoativo biodegradável. Neutro</t>
  </si>
  <si>
    <t xml:space="preserve">Frasco 500ml</t>
  </si>
  <si>
    <t xml:space="preserve">Detergente industrial para piso, amoniacal, dodecilbenzeno, aplicação remoção gordura e sujeira em geral, características adicionais líquido. Em galão de 5 litros</t>
  </si>
  <si>
    <t xml:space="preserve">Unid</t>
  </si>
  <si>
    <t xml:space="preserve">Escova de Roupa, material corpo madeira, tratamento superficial envernizado, material cerdas sintético, cor cerdas branca e marrom. Tamanho aproximado 12 x 7 cm.</t>
  </si>
  <si>
    <t xml:space="preserve">Bimestral</t>
  </si>
  <si>
    <t xml:space="preserve">Escova para lavar vaso sanitário</t>
  </si>
  <si>
    <t xml:space="preserve">Esponja para Limpeza, espuma/fibra, sintética, retangular, alta/mínima, limpeza geral, dupla face (uma macia e outra áspera). Pacote com 3 unidades.</t>
  </si>
  <si>
    <t xml:space="preserve">Flanela 100 % algodão, comprimento 40 cm, largura 30 cm, cor branca.</t>
  </si>
  <si>
    <t xml:space="preserve">Inseticida, combate a pragas, aerossol em base aquosa multiplus, mínimo cheiro. Frasco com 300 ml.</t>
  </si>
  <si>
    <t xml:space="preserve">Luva de Borracha para Limpeza, forrada, tipo punho longo. Composição: látex. Acabamento com frisos antiderrapantes na palma. Tamanhos P, M , G nas cores Azul e Amarela. Produto com certificado de aprovação.</t>
  </si>
  <si>
    <t xml:space="preserve">Pá de metal para lixo com cabo madeira 70 cm</t>
  </si>
  <si>
    <t xml:space="preserve">anual</t>
  </si>
  <si>
    <t xml:space="preserve">Pano de chão, material 100% algodão, tamanho 70x50 cm, alvejado.</t>
  </si>
  <si>
    <t xml:space="preserve">Papel Higiênico, 100% fibras celulósicas, rolo com 40 m, 10 cm, boa qualidade, folhas dupla, cor branca, biodegradável. Fardo com 64 unidades</t>
  </si>
  <si>
    <t xml:space="preserve">Fardo</t>
  </si>
  <si>
    <t xml:space="preserve">Sabão em Barra, características adicionais: sabão de ácidos graxos de coco/babaçu ou glicerinado, incolor, em pacotes com 5 unid.</t>
  </si>
  <si>
    <t xml:space="preserve">Sabão Líquido 5 litros Embalagem com impressão do nome do fabricante e indicação de registro na ANVISA/MS. Prazo de validade impresso na embalagem e não inferior a 11 meses contados da data de recebimento definitivo.</t>
  </si>
  <si>
    <t xml:space="preserve">Galão</t>
  </si>
  <si>
    <t xml:space="preserve">Sabão em pó, Para lavagem de roupas, Composição: alquil benzeno sulfato de sódio, corante, Fragrância Floral Embalagem com 1000 g,Embalagem com impressão do nome do fabricante e indicação de registro na ANVISA/MS. Tensoativo aniônico biodegradável. Prazo de validade impresso na embalagem e não inferior a 11 meses contados da data de recebimento definitivo.</t>
  </si>
  <si>
    <t xml:space="preserve">Sabonete líquido, aspecto físico líquido perfumado, acidez neutro, aplicação saboneteira para sabonetes líquidos. Embalagem de 5litros. Liberado pela ANVISA.</t>
  </si>
  <si>
    <t xml:space="preserve">Galão 5L</t>
  </si>
  <si>
    <t xml:space="preserve">Saco plástico lixo, capacidade 100 litros, largura 75cm, altura 105cm, aplicação coleta de lixo, material plástico biodegradável. Pacote com 100 unidades.</t>
  </si>
  <si>
    <t xml:space="preserve">Pacote</t>
  </si>
  <si>
    <t xml:space="preserve">Saco plástico para lixo 15 litros, Cor preta. Dimensões: 39 cm x 58 cm, podendo variar em + 5,0cm Resistente ao peso mínimo de 3 Kg. Cada pacote deverá conter 100 sacos.</t>
  </si>
  <si>
    <t xml:space="preserve">Saco plástico para lixo 60 litros, Cor preta. Dimensões: 40 cm x 60 cm, podendo variar em + 5,0cm Resistente ao peso mínimo de 5 Kg. Cada pacote deverá conter 100 sacos.</t>
  </si>
  <si>
    <t xml:space="preserve">Saco plástico para lixo, capacidade 150 litros, cor azul, largura 90 cm, altura 105 cm, espessura mínima de0,10micras, material polietileno. Cada pacote deverá conter 100 sacos.</t>
  </si>
  <si>
    <t xml:space="preserve">Toalha de papel, material 100% fibra celulose virgem, tipo folha 3 dobras, comprimento 27, largura 23, cor branca, características adicionais gramatura: 36 g/m2; alto nível de absorção, aplicação higiene pessoal. Fardo com 8.000 folhas.</t>
  </si>
  <si>
    <t xml:space="preserve">Vassoura material cerdas piaçava sintética, material cepa madeira revestido com metal, comprimento cepa 27, cabo plastificado:1,20 cm, cerdas 17 cm, largura da cepa 4 cm.</t>
  </si>
  <si>
    <t xml:space="preserve">semestral</t>
  </si>
  <si>
    <t xml:space="preserve">Vassoura para uso doméstico</t>
  </si>
  <si>
    <t xml:space="preserve">Rodo com cabo de madeira 60 cm</t>
  </si>
  <si>
    <t xml:space="preserve">Rastelo de plástico para folhas secas com cabo 60 cm</t>
  </si>
  <si>
    <t xml:space="preserve">Carrinho de mão</t>
  </si>
  <si>
    <t xml:space="preserve">Anual</t>
  </si>
  <si>
    <t xml:space="preserve">Espanador de fibra sintética</t>
  </si>
  <si>
    <t xml:space="preserve">Limpador multiuso para limpar móveis e equipamentos (concentrado)</t>
  </si>
  <si>
    <t xml:space="preserve">Litro</t>
  </si>
  <si>
    <t xml:space="preserve">Mangueira plástica 50m, com parede reforçada com esguicho para uso em torneira de 1/2 e ¾</t>
  </si>
  <si>
    <t xml:space="preserve">Placa sinalizadora em plástico para isolamento da área com piso molhado</t>
  </si>
  <si>
    <t xml:space="preserve">Saponáceo em pó frasco c/ 200g</t>
  </si>
  <si>
    <t xml:space="preserve">Solução de limpeza para vidros</t>
  </si>
  <si>
    <t xml:space="preserve">Fibra preta para enceradeira</t>
  </si>
  <si>
    <t xml:space="preserve">Fibra amarela para máquina de polimento piso</t>
  </si>
  <si>
    <t xml:space="preserve">Lixeiros Telados sem tampa com capacidade de 10 litros</t>
  </si>
  <si>
    <t xml:space="preserve">Escada dobrável, com aproximadamente 2 metros de altura, de ferro, com no mínimo 7 degraus.</t>
  </si>
  <si>
    <t xml:space="preserve">ORÇAMENTO PARA ESTIMATIVA DE PREÇOS</t>
  </si>
  <si>
    <t xml:space="preserve">DEPRECIAÇÃO E MANUTENÇÃO DE EQUIPAMENTOS E FERRAMENTAS</t>
  </si>
  <si>
    <t xml:space="preserve">COTAÇÃO (R$)</t>
  </si>
  <si>
    <t xml:space="preserve">Valor unitário estimado  (R$)</t>
  </si>
  <si>
    <t xml:space="preserve">Valor Total  (A)  (R$)</t>
  </si>
  <si>
    <t xml:space="preserve">Manutenção Mensal (B) (0,25% x A)  (R$)</t>
  </si>
  <si>
    <t xml:space="preserve">Meses de Vida Útil Estimada (D)</t>
  </si>
  <si>
    <t xml:space="preserve">Depreciação (E) (A / D)  (R$)</t>
  </si>
  <si>
    <t xml:space="preserve">Custo Mensal (B+C+D)  (R$)</t>
  </si>
  <si>
    <t xml:space="preserve">Extensão elétrica de 50 metros.</t>
  </si>
  <si>
    <t xml:space="preserve">Lavadora de Alta Pressão Industrial, mínimo de 1900 PSI</t>
  </si>
  <si>
    <t xml:space="preserve">Máquina de lavar roupa, faz tudo, capacidade mínima de 8 kg</t>
  </si>
  <si>
    <t xml:space="preserve">Carrinho de limpeza profissional, com balde e espremedor, acompanhado de MOP úmido 320g, completo com garra plástica e cabo 3 estágios de 1,40 M.</t>
  </si>
  <si>
    <t xml:space="preserve">Enceradeira motor ½ hp</t>
  </si>
  <si>
    <t xml:space="preserve">TOTAL MENSAL </t>
  </si>
  <si>
    <t xml:space="preserve">TOTAL MENSAL DIVIDIDO POR SERVENTE</t>
  </si>
  <si>
    <t xml:space="preserve">Planilha de Composição de Custos – Área (R$/M²) – Campus Campo Novo do Parecis</t>
  </si>
  <si>
    <t xml:space="preserve">ÁREA INTERNA – PISO FRIO</t>
  </si>
  <si>
    <t xml:space="preserve">Metragem</t>
  </si>
  <si>
    <t xml:space="preserve">Mão de Obra</t>
  </si>
  <si>
    <t xml:space="preserve">(A) 
Produtividade (1/M²)</t>
  </si>
  <si>
    <t xml:space="preserve">(B) 
Preço Homem-mês (R$)</t>
  </si>
  <si>
    <t xml:space="preserve">(C) 
Subtotal
(R$/M²)</t>
  </si>
  <si>
    <t xml:space="preserve">800 m²</t>
  </si>
  <si>
    <t xml:space="preserve">Servente</t>
  </si>
  <si>
    <t xml:space="preserve">Encarregado</t>
  </si>
  <si>
    <t xml:space="preserve">1200 m²</t>
  </si>
  <si>
    <t xml:space="preserve">1000 m²</t>
  </si>
  <si>
    <t xml:space="preserve">ÁREA INTERNA – ALMOXARIFADO E GALPÃO</t>
  </si>
  <si>
    <t xml:space="preserve">1500 m²</t>
  </si>
  <si>
    <t xml:space="preserve">2500 m²</t>
  </si>
  <si>
    <t xml:space="preserve">2000 m²</t>
  </si>
  <si>
    <t xml:space="preserve">ÁREA INTERNA – OFICINA</t>
  </si>
  <si>
    <t xml:space="preserve">1800 m²</t>
  </si>
  <si>
    <t xml:space="preserve">ÁREA INTERNA – COM ESPAÇOS LIVRES</t>
  </si>
  <si>
    <t xml:space="preserve">1250m²</t>
  </si>
  <si>
    <t xml:space="preserve">ÁREA INTERNA – LABORATÓRIOS</t>
  </si>
  <si>
    <t xml:space="preserve">360 m²</t>
  </si>
  <si>
    <t xml:space="preserve">450 m²</t>
  </si>
  <si>
    <t xml:space="preserve">405 m²</t>
  </si>
  <si>
    <t xml:space="preserve">ÁREA INTERNA – BANHEIROS</t>
  </si>
  <si>
    <t xml:space="preserve">200 m²</t>
  </si>
  <si>
    <t xml:space="preserve">300 m²</t>
  </si>
  <si>
    <t xml:space="preserve">250 m²</t>
  </si>
  <si>
    <t xml:space="preserve">ÁREA EXTERNA</t>
  </si>
  <si>
    <t xml:space="preserve">2700 m²</t>
  </si>
  <si>
    <t xml:space="preserve">2250 m²</t>
  </si>
  <si>
    <t xml:space="preserve">ESQUADRIA INTERNA E EXTERNA – SEM EXPOSIÇÃO À SITUAÇÃO DE RISCO</t>
  </si>
  <si>
    <t xml:space="preserve">(B)
Frequência no Mês
(Horas)</t>
  </si>
  <si>
    <t xml:space="preserve">(c) 
Jornada de Trabalho no Mês (R$)</t>
  </si>
  <si>
    <t xml:space="preserve">(D) 
(AxBxC)</t>
  </si>
  <si>
    <t xml:space="preserve">(E) 
Preço Homem-mês (R$)</t>
  </si>
  <si>
    <t xml:space="preserve">(F) 
Subtotal
(R$/M²)</t>
  </si>
  <si>
    <t xml:space="preserve">380 m²</t>
  </si>
  <si>
    <t xml:space="preserve">340 m²</t>
  </si>
  <si>
    <t xml:space="preserve">ESQUADRIA EXTERNA – COM EXPOSIÇÃO À SITUAÇÃO DE RISCO</t>
  </si>
  <si>
    <t xml:space="preserve">130 m²</t>
  </si>
  <si>
    <t xml:space="preserve">160 m²</t>
  </si>
  <si>
    <t xml:space="preserve">145 m²</t>
  </si>
  <si>
    <t xml:space="preserve">Planilha de Composição de Valores Estimados</t>
  </si>
  <si>
    <t xml:space="preserve">Item 1 – Campo Novo do Parecis PRODUTIVIDADE CUSTOMIZADA</t>
  </si>
  <si>
    <t xml:space="preserve">TIPO DE ÁREA</t>
  </si>
  <si>
    <t xml:space="preserve">PREÇO MENSAL UNITÁRIO (R$/M²)</t>
  </si>
  <si>
    <t xml:space="preserve">ÁREA (M²)</t>
  </si>
  <si>
    <t xml:space="preserve">SUBTOTAL</t>
  </si>
  <si>
    <t xml:space="preserve">TOTAL ANUAL </t>
  </si>
  <si>
    <t xml:space="preserve">Áreas Internas:  Pisos frios</t>
  </si>
  <si>
    <t xml:space="preserve">Áreas Internas:  Banheiro</t>
  </si>
  <si>
    <t xml:space="preserve">Áreas Internas:  Laboratórios e área hospitalares</t>
  </si>
  <si>
    <t xml:space="preserve">Áreas Internas:  Almoxarifados/galpões</t>
  </si>
  <si>
    <t xml:space="preserve">Áreas Internas:  Oficinas</t>
  </si>
  <si>
    <t xml:space="preserve">Áreas Internas:  Áreas com espaço livre</t>
  </si>
  <si>
    <t xml:space="preserve">Áreas Externa:  Piso pavimentado</t>
  </si>
  <si>
    <t xml:space="preserve">Esquadrias:  face interna e externa sem exposição a situação de risco</t>
  </si>
  <si>
    <t xml:space="preserve">Esquadrias:  face externa com exposição a situação de risco</t>
  </si>
</sst>
</file>

<file path=xl/styles.xml><?xml version="1.0" encoding="utf-8"?>
<styleSheet xmlns="http://schemas.openxmlformats.org/spreadsheetml/2006/main">
  <numFmts count="23">
    <numFmt numFmtId="164" formatCode="General"/>
    <numFmt numFmtId="165" formatCode="[$R$-416]\ #,##0.00;[RED]\-[$R$-416]\ #,##0.00"/>
    <numFmt numFmtId="166" formatCode="#,##0.00"/>
    <numFmt numFmtId="167" formatCode="0"/>
    <numFmt numFmtId="168" formatCode="0.00"/>
    <numFmt numFmtId="169" formatCode="* #,##0.00\ ;* #,##0.00\ ;* \-#\ ;@\ "/>
    <numFmt numFmtId="170" formatCode="* #,##0\ ;* #,##0\ ;* \-#\ ;@\ "/>
    <numFmt numFmtId="171" formatCode="#"/>
    <numFmt numFmtId="172" formatCode="#,##0.0000"/>
    <numFmt numFmtId="173" formatCode="[$R$ -416]#,##0.00"/>
    <numFmt numFmtId="174" formatCode="D/M/YYYY"/>
    <numFmt numFmtId="175" formatCode="&quot;R$ &quot;#,##0.00"/>
    <numFmt numFmtId="176" formatCode="0.00%"/>
    <numFmt numFmtId="177" formatCode="&quot;R$ &quot;#,##0.00;[RED]&quot;-R$ &quot;#,##0.00"/>
    <numFmt numFmtId="178" formatCode="#,##0"/>
    <numFmt numFmtId="179" formatCode="&quot; R$ &quot;* #,##0.00\ ;&quot; R$ &quot;* \(#,##0.00\);&quot; R$ &quot;* \-#\ ;@\ "/>
    <numFmt numFmtId="180" formatCode="&quot; R$ &quot;* #,##0.00\ ;&quot;-R$ &quot;* #,##0.00\ ;&quot; R$ &quot;* \-#\ ;@\ "/>
    <numFmt numFmtId="181" formatCode="[$R$-416]\ * #,##0.00\ ;\-[$R$-416]\ * #,##0.00\ ;[$R$-416]\ * \-#\ ;\ @\ "/>
    <numFmt numFmtId="182" formatCode="[$R$ -416]* #,##0.00\ ;[$R$ -416]* \(#,##0.00\);[$R$ -416]* \-#\ ;\ @\ "/>
    <numFmt numFmtId="183" formatCode="0.00000E+00"/>
    <numFmt numFmtId="184" formatCode="0.000000000"/>
    <numFmt numFmtId="185" formatCode="0.00000"/>
    <numFmt numFmtId="186" formatCode="0.00E+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FreeSans"/>
      <family val="2"/>
    </font>
    <font>
      <sz val="10"/>
      <color rgb="FF000000"/>
      <name val="FreeSans"/>
      <family val="2"/>
    </font>
    <font>
      <sz val="10"/>
      <color rgb="FF333333"/>
      <name val="FreeSans"/>
      <family val="2"/>
    </font>
    <font>
      <sz val="10"/>
      <color rgb="FF808080"/>
      <name val="FreeSans"/>
      <family val="2"/>
    </font>
    <font>
      <u val="single"/>
      <sz val="10"/>
      <color rgb="FF0000EE"/>
      <name val="FreeSans"/>
      <family val="2"/>
    </font>
    <font>
      <sz val="10"/>
      <color rgb="FF006600"/>
      <name val="FreeSans"/>
      <family val="2"/>
    </font>
    <font>
      <sz val="10"/>
      <color rgb="FF996600"/>
      <name val="FreeSans"/>
      <family val="2"/>
    </font>
    <font>
      <sz val="10"/>
      <color rgb="FFCC0000"/>
      <name val="FreeSans"/>
      <family val="2"/>
    </font>
    <font>
      <sz val="10"/>
      <color rgb="FFFFFFFF"/>
      <name val="FreeSans"/>
      <family val="2"/>
    </font>
    <font>
      <u val="single"/>
      <sz val="10"/>
      <name val="FreeSans"/>
      <family val="2"/>
    </font>
    <font>
      <sz val="11"/>
      <color rgb="FF000000"/>
      <name val="Times New Roman"/>
      <family val="1"/>
    </font>
    <font>
      <b val="true"/>
      <sz val="11"/>
      <name val="Times New Roman"/>
      <family val="1"/>
    </font>
    <font>
      <b val="true"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color rgb="FFCE181E"/>
      <name val="Times New Roman"/>
      <family val="1"/>
    </font>
    <font>
      <b val="true"/>
      <sz val="14"/>
      <color rgb="FFFFFFFF"/>
      <name val="Arial"/>
      <family val="0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sz val="9"/>
      <color rgb="FF000000"/>
      <name val="Arial"/>
      <family val="0"/>
    </font>
    <font>
      <sz val="6.4"/>
      <color rgb="FF4C4C4C"/>
      <name val="Ubuntu"/>
      <family val="0"/>
    </font>
    <font>
      <sz val="10"/>
      <color rgb="FF000000"/>
      <name val="Calibri"/>
      <family val="0"/>
    </font>
    <font>
      <sz val="10"/>
      <color rgb="FF000000"/>
      <name val="Times New Roman"/>
      <family val="0"/>
    </font>
    <font>
      <sz val="10.5"/>
      <color rgb="FF000000"/>
      <name val="Times New Roman"/>
      <family val="1"/>
    </font>
    <font>
      <sz val="10"/>
      <color rgb="FF333333"/>
      <name val="Arial"/>
      <family val="2"/>
    </font>
    <font>
      <sz val="10.5"/>
      <name val="Times New Roman"/>
      <family val="1"/>
    </font>
    <font>
      <b val="true"/>
      <sz val="10"/>
      <name val="Arial"/>
      <family val="2"/>
    </font>
    <font>
      <sz val="11"/>
      <color rgb="FF333333"/>
      <name val="-apple-system"/>
      <family val="0"/>
    </font>
    <font>
      <b val="true"/>
      <sz val="12"/>
      <color rgb="FFFFFFFF"/>
      <name val="Arial"/>
      <family val="2"/>
    </font>
    <font>
      <b val="true"/>
      <sz val="11"/>
      <color rgb="FFFFFFFF"/>
      <name val="Arial"/>
      <family val="2"/>
    </font>
    <font>
      <sz val="11"/>
      <color rgb="FFFFFFFF"/>
      <name val="Arial"/>
      <family val="2"/>
    </font>
    <font>
      <b val="true"/>
      <sz val="10"/>
      <color rgb="FF000000"/>
      <name val="Arial"/>
      <family val="2"/>
    </font>
    <font>
      <sz val="8"/>
      <color rgb="FF313739"/>
      <name val="Arial"/>
      <family val="2"/>
    </font>
    <font>
      <b val="true"/>
      <sz val="8"/>
      <color rgb="FFCE181E"/>
      <name val="Arial"/>
      <family val="2"/>
    </font>
    <font>
      <sz val="8"/>
      <color rgb="FF000000"/>
      <name val="Arial"/>
      <family val="2"/>
    </font>
    <font>
      <b val="true"/>
      <sz val="8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2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E0EFD4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757070"/>
      </patternFill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  <fill>
      <patternFill patternType="solid">
        <fgColor rgb="FFB2B2B2"/>
        <bgColor rgb="FFCCCCCC"/>
      </patternFill>
    </fill>
    <fill>
      <patternFill patternType="solid">
        <fgColor rgb="FFFFF200"/>
        <bgColor rgb="FFFFFF00"/>
      </patternFill>
    </fill>
    <fill>
      <patternFill patternType="solid">
        <fgColor rgb="FF38761D"/>
        <bgColor rgb="FF006600"/>
      </patternFill>
    </fill>
    <fill>
      <patternFill patternType="solid">
        <fgColor rgb="FFD9EAD3"/>
        <bgColor rgb="FFE0EFD4"/>
      </patternFill>
    </fill>
    <fill>
      <patternFill patternType="solid">
        <fgColor rgb="FFD9D9D9"/>
        <bgColor rgb="FFDDDDDD"/>
      </patternFill>
    </fill>
    <fill>
      <patternFill patternType="solid">
        <fgColor rgb="FFCFE2F3"/>
        <bgColor rgb="FFDDDDDD"/>
      </patternFill>
    </fill>
    <fill>
      <patternFill patternType="solid">
        <fgColor rgb="FFE0EFD4"/>
        <bgColor rgb="FFD9EAD3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757070"/>
      </left>
      <right style="thin">
        <color rgb="FF757070"/>
      </right>
      <top style="thin">
        <color rgb="FF757070"/>
      </top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>
        <color rgb="FF757070"/>
      </right>
      <top/>
      <bottom style="thin">
        <color rgb="FF757070"/>
      </bottom>
      <diagonal/>
    </border>
    <border diagonalUp="false" diagonalDown="false">
      <left/>
      <right/>
      <top/>
      <bottom style="double"/>
      <diagonal/>
    </border>
    <border diagonalUp="false" diagonalDown="false">
      <left style="thin">
        <color rgb="FF757070"/>
      </left>
      <right/>
      <top style="thin">
        <color rgb="FF757070"/>
      </top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18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8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5" fillId="0" borderId="0" applyFont="true" applyBorder="false" applyAlignment="false" applyProtection="false"/>
    <xf numFmtId="164" fontId="12" fillId="6" borderId="0" applyFont="true" applyBorder="false" applyAlignment="false" applyProtection="false"/>
    <xf numFmtId="164" fontId="12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13" fillId="0" borderId="0" applyFont="true" applyBorder="false" applyAlignment="false" applyProtection="false"/>
    <xf numFmtId="165" fontId="13" fillId="0" borderId="0" applyFont="true" applyBorder="false" applyAlignment="false" applyProtection="false"/>
  </cellStyleXfs>
  <cellXfs count="1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14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6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9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9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7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6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6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7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6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1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1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9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4" fillId="9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9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4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17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11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1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1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2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1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1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6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21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7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6" fontId="22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1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1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21" fillId="1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22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9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9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0" fontId="22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14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9" fontId="21" fillId="14" borderId="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1" fillId="15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9" fontId="21" fillId="15" borderId="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1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9" fontId="22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9" fontId="21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1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1" fontId="2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9" fontId="21" fillId="1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8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 readingOrder="1"/>
      <protection locked="false" hidden="false"/>
    </xf>
    <xf numFmtId="164" fontId="2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14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82" fontId="21" fillId="14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17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8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0" fontId="21" fillId="15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1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2" fillId="9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1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4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80" fontId="21" fillId="1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14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80" fontId="21" fillId="1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15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80" fontId="21" fillId="15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7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83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3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8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5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1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84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5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6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3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8" fillId="9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5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1" fillId="11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25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Título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Resultado" xfId="37" builtinId="53" customBuiltin="true"/>
    <cellStyle name="Resultado2" xfId="38" builtinId="53" customBuiltin="true"/>
  </cellStyles>
  <colors>
    <indexedColors>
      <rgbColor rgb="FF000000"/>
      <rgbColor rgb="FFFFFFFF"/>
      <rgbColor rgb="FFCC0000"/>
      <rgbColor rgb="FF00FF00"/>
      <rgbColor rgb="FF0000EE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E0EFD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EAD3"/>
      <rgbColor rgb="FFCCFFCC"/>
      <rgbColor rgb="FFE7E6E6"/>
      <rgbColor rgb="FFD9D9D9"/>
      <rgbColor rgb="FFFF99CC"/>
      <rgbColor rgb="FFDDDDDD"/>
      <rgbColor rgb="FFFFCCCC"/>
      <rgbColor rgb="FF3366FF"/>
      <rgbColor rgb="FF33CCCC"/>
      <rgbColor rgb="FF99CC00"/>
      <rgbColor rgb="FFFFCC00"/>
      <rgbColor rgb="FFFF9900"/>
      <rgbColor rgb="FFFF6600"/>
      <rgbColor rgb="FF757070"/>
      <rgbColor rgb="FFB2B2B2"/>
      <rgbColor rgb="FF003366"/>
      <rgbColor rgb="FF38761D"/>
      <rgbColor rgb="FF003300"/>
      <rgbColor rgb="FF313739"/>
      <rgbColor rgb="FFCE181E"/>
      <rgbColor rgb="FF993366"/>
      <rgbColor rgb="FF4C4C4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167" activePane="bottomLeft" state="frozen"/>
      <selection pane="topLeft" activeCell="A1" activeCellId="0" sqref="A1"/>
      <selection pane="bottomLeft" activeCell="A1" activeCellId="0" sqref="A1"/>
    </sheetView>
  </sheetViews>
  <sheetFormatPr defaultRowHeight="13.8" zeroHeight="false" outlineLevelRow="0" outlineLevelCol="0"/>
  <cols>
    <col collapsed="false" customWidth="true" hidden="false" outlineLevel="0" max="2" min="1" style="1" width="15.42"/>
    <col collapsed="false" customWidth="true" hidden="false" outlineLevel="0" max="5" min="3" style="2" width="14.31"/>
    <col collapsed="false" customWidth="true" hidden="false" outlineLevel="0" max="6" min="6" style="1" width="8.47"/>
    <col collapsed="false" customWidth="true" hidden="false" outlineLevel="0" max="7" min="7" style="1" width="16.11"/>
    <col collapsed="false" customWidth="true" hidden="false" outlineLevel="0" max="9" min="8" style="3" width="14.16"/>
    <col collapsed="false" customWidth="true" hidden="false" outlineLevel="0" max="10" min="10" style="4" width="14.16"/>
    <col collapsed="false" customWidth="true" hidden="false" outlineLevel="0" max="11" min="11" style="5" width="14.16"/>
    <col collapsed="false" customWidth="true" hidden="false" outlineLevel="0" max="12" min="12" style="1" width="11.94"/>
    <col collapsed="false" customWidth="false" hidden="false" outlineLevel="0" max="1014" min="13" style="1" width="11.52"/>
    <col collapsed="false" customWidth="false" hidden="false" outlineLevel="0" max="1015" min="1015" style="6" width="11.52"/>
    <col collapsed="false" customWidth="false" hidden="false" outlineLevel="0" max="1023" min="1016" style="7" width="11.52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customFormat="false" ht="13.8" hidden="false" customHeight="false" outlineLevel="0" collapsed="false">
      <c r="A2" s="9"/>
      <c r="B2" s="9"/>
      <c r="C2" s="9"/>
      <c r="D2" s="9"/>
      <c r="E2" s="9"/>
    </row>
    <row r="3" s="11" customFormat="true" ht="13.8" hidden="false" customHeight="true" outlineLevel="0" collapsed="false">
      <c r="A3" s="10" t="s">
        <v>1</v>
      </c>
      <c r="B3" s="10"/>
      <c r="C3" s="10"/>
      <c r="D3" s="10"/>
      <c r="E3" s="10"/>
      <c r="G3" s="12" t="s">
        <v>2</v>
      </c>
      <c r="H3" s="12"/>
      <c r="I3" s="12"/>
      <c r="J3" s="12"/>
      <c r="K3" s="12"/>
      <c r="AMA3" s="13"/>
      <c r="AMB3" s="14"/>
      <c r="AMC3" s="14"/>
      <c r="AMD3" s="14"/>
      <c r="AME3" s="14"/>
      <c r="AMF3" s="14"/>
      <c r="AMG3" s="14"/>
      <c r="AMH3" s="14"/>
      <c r="AMI3" s="14"/>
      <c r="AMJ3" s="0"/>
    </row>
    <row r="4" s="11" customFormat="true" ht="25.35" hidden="false" customHeight="true" outlineLevel="0" collapsed="false">
      <c r="A4" s="10" t="s">
        <v>3</v>
      </c>
      <c r="B4" s="10"/>
      <c r="C4" s="15" t="s">
        <v>4</v>
      </c>
      <c r="D4" s="15" t="s">
        <v>5</v>
      </c>
      <c r="E4" s="15" t="s">
        <v>6</v>
      </c>
      <c r="G4" s="10" t="s">
        <v>7</v>
      </c>
      <c r="H4" s="10" t="s">
        <v>8</v>
      </c>
      <c r="I4" s="16" t="s">
        <v>9</v>
      </c>
      <c r="J4" s="17" t="s">
        <v>10</v>
      </c>
      <c r="K4" s="16" t="s">
        <v>11</v>
      </c>
      <c r="AMA4" s="13"/>
      <c r="AMB4" s="14"/>
      <c r="AMC4" s="14"/>
      <c r="AMD4" s="14"/>
      <c r="AME4" s="14"/>
      <c r="AMF4" s="14"/>
      <c r="AMG4" s="14"/>
      <c r="AMH4" s="14"/>
      <c r="AMI4" s="14"/>
      <c r="AMJ4" s="0"/>
    </row>
    <row r="5" customFormat="false" ht="13.8" hidden="false" customHeight="true" outlineLevel="0" collapsed="false">
      <c r="A5" s="18" t="s">
        <v>12</v>
      </c>
      <c r="B5" s="18"/>
      <c r="C5" s="19" t="n">
        <f aca="false">6.7*14.7</f>
        <v>98.49</v>
      </c>
      <c r="D5" s="19"/>
      <c r="E5" s="19"/>
      <c r="G5" s="20" t="s">
        <v>13</v>
      </c>
      <c r="H5" s="20" t="s">
        <v>14</v>
      </c>
      <c r="I5" s="21" t="s">
        <v>15</v>
      </c>
      <c r="J5" s="22" t="n">
        <v>7</v>
      </c>
      <c r="K5" s="21" t="n">
        <f aca="false">(2.5*1.2)*7</f>
        <v>21</v>
      </c>
    </row>
    <row r="6" customFormat="false" ht="13.8" hidden="false" customHeight="true" outlineLevel="0" collapsed="false">
      <c r="A6" s="18" t="s">
        <v>16</v>
      </c>
      <c r="B6" s="18"/>
      <c r="C6" s="19" t="n">
        <v>26.85</v>
      </c>
      <c r="D6" s="19"/>
      <c r="E6" s="19"/>
      <c r="G6" s="20"/>
      <c r="H6" s="20"/>
      <c r="I6" s="21" t="s">
        <v>17</v>
      </c>
      <c r="J6" s="22" t="n">
        <v>7</v>
      </c>
      <c r="K6" s="21" t="n">
        <f aca="false">(2*1)*7</f>
        <v>14</v>
      </c>
    </row>
    <row r="7" customFormat="false" ht="13.8" hidden="false" customHeight="true" outlineLevel="0" collapsed="false">
      <c r="A7" s="18" t="s">
        <v>18</v>
      </c>
      <c r="B7" s="18"/>
      <c r="C7" s="19" t="n">
        <v>24.79</v>
      </c>
      <c r="D7" s="19"/>
      <c r="E7" s="19"/>
      <c r="G7" s="20"/>
      <c r="H7" s="20"/>
      <c r="I7" s="21" t="s">
        <v>19</v>
      </c>
      <c r="J7" s="22" t="n">
        <v>5</v>
      </c>
      <c r="K7" s="21" t="n">
        <f aca="false">(2*0.6)*7</f>
        <v>8.4</v>
      </c>
    </row>
    <row r="8" customFormat="false" ht="13.8" hidden="false" customHeight="true" outlineLevel="0" collapsed="false">
      <c r="A8" s="18" t="s">
        <v>20</v>
      </c>
      <c r="B8" s="18"/>
      <c r="C8" s="19" t="n">
        <v>32.52</v>
      </c>
      <c r="D8" s="19"/>
      <c r="E8" s="19"/>
      <c r="G8" s="20"/>
      <c r="H8" s="20"/>
      <c r="I8" s="21" t="s">
        <v>21</v>
      </c>
      <c r="J8" s="22" t="n">
        <v>3</v>
      </c>
      <c r="K8" s="21" t="n">
        <f aca="false">(1.2*0.6)*7</f>
        <v>5.04</v>
      </c>
    </row>
    <row r="9" customFormat="false" ht="13.8" hidden="false" customHeight="true" outlineLevel="0" collapsed="false">
      <c r="A9" s="18" t="s">
        <v>22</v>
      </c>
      <c r="B9" s="18"/>
      <c r="C9" s="19" t="n">
        <v>12.95</v>
      </c>
      <c r="D9" s="19"/>
      <c r="E9" s="19"/>
      <c r="G9" s="20"/>
      <c r="H9" s="20"/>
      <c r="I9" s="21" t="s">
        <v>23</v>
      </c>
      <c r="J9" s="22" t="n">
        <v>14</v>
      </c>
      <c r="K9" s="21" t="n">
        <f aca="false">(1*0.6)*7</f>
        <v>4.2</v>
      </c>
    </row>
    <row r="10" customFormat="false" ht="13.8" hidden="false" customHeight="true" outlineLevel="0" collapsed="false">
      <c r="A10" s="18" t="s">
        <v>24</v>
      </c>
      <c r="B10" s="18"/>
      <c r="C10" s="19" t="n">
        <f aca="false">25.1+26.18</f>
        <v>51.28</v>
      </c>
      <c r="D10" s="19"/>
      <c r="E10" s="19"/>
      <c r="G10" s="20"/>
      <c r="H10" s="20"/>
      <c r="I10" s="16" t="s">
        <v>25</v>
      </c>
      <c r="J10" s="17" t="n">
        <f aca="false">SUM(J5:J9)</f>
        <v>36</v>
      </c>
      <c r="K10" s="16" t="n">
        <f aca="false">SUM(K5:K9)</f>
        <v>52.64</v>
      </c>
    </row>
    <row r="11" customFormat="false" ht="13.8" hidden="false" customHeight="true" outlineLevel="0" collapsed="false">
      <c r="A11" s="18" t="s">
        <v>26</v>
      </c>
      <c r="B11" s="18"/>
      <c r="C11" s="19" t="n">
        <f aca="false">12.3+12.3</f>
        <v>24.6</v>
      </c>
      <c r="D11" s="19"/>
      <c r="E11" s="19"/>
      <c r="G11" s="20"/>
      <c r="H11" s="20" t="s">
        <v>27</v>
      </c>
      <c r="I11" s="21" t="s">
        <v>28</v>
      </c>
      <c r="J11" s="22" t="n">
        <v>12</v>
      </c>
      <c r="K11" s="21" t="n">
        <f aca="false">(0.8*2.1)*J11</f>
        <v>20.16</v>
      </c>
    </row>
    <row r="12" customFormat="false" ht="13.8" hidden="false" customHeight="true" outlineLevel="0" collapsed="false">
      <c r="A12" s="18" t="s">
        <v>29</v>
      </c>
      <c r="B12" s="18"/>
      <c r="C12" s="19" t="n">
        <v>25.18</v>
      </c>
      <c r="D12" s="19"/>
      <c r="E12" s="19"/>
      <c r="G12" s="20"/>
      <c r="H12" s="20"/>
      <c r="I12" s="21" t="s">
        <v>30</v>
      </c>
      <c r="J12" s="22" t="n">
        <v>1</v>
      </c>
      <c r="K12" s="21" t="n">
        <f aca="false">(2*2.1)*J12</f>
        <v>4.2</v>
      </c>
    </row>
    <row r="13" customFormat="false" ht="13.8" hidden="false" customHeight="true" outlineLevel="0" collapsed="false">
      <c r="A13" s="18" t="s">
        <v>31</v>
      </c>
      <c r="B13" s="18"/>
      <c r="C13" s="19" t="n">
        <f aca="false">15.35+9.25</f>
        <v>24.6</v>
      </c>
      <c r="D13" s="19"/>
      <c r="E13" s="19"/>
      <c r="G13" s="20"/>
      <c r="H13" s="20"/>
      <c r="I13" s="16" t="s">
        <v>25</v>
      </c>
      <c r="J13" s="17" t="n">
        <f aca="false">SUM(J11:J12)</f>
        <v>13</v>
      </c>
      <c r="K13" s="16" t="n">
        <f aca="false">SUM(K11:K12)</f>
        <v>24.36</v>
      </c>
    </row>
    <row r="14" customFormat="false" ht="13.8" hidden="false" customHeight="true" outlineLevel="0" collapsed="false">
      <c r="A14" s="18" t="s">
        <v>32</v>
      </c>
      <c r="B14" s="18"/>
      <c r="C14" s="19"/>
      <c r="D14" s="19" t="n">
        <f aca="false">7.7+6.83+6.83</f>
        <v>21.36</v>
      </c>
      <c r="E14" s="19"/>
      <c r="G14" s="20" t="s">
        <v>33</v>
      </c>
      <c r="H14" s="20" t="s">
        <v>14</v>
      </c>
      <c r="I14" s="21" t="s">
        <v>34</v>
      </c>
      <c r="J14" s="22" t="n">
        <v>8</v>
      </c>
      <c r="K14" s="21" t="n">
        <f aca="false">(2.8*0.6)*J14</f>
        <v>13.44</v>
      </c>
    </row>
    <row r="15" customFormat="false" ht="25.35" hidden="false" customHeight="true" outlineLevel="0" collapsed="false">
      <c r="A15" s="18" t="s">
        <v>35</v>
      </c>
      <c r="B15" s="18"/>
      <c r="C15" s="23"/>
      <c r="D15" s="19"/>
      <c r="E15" s="19" t="n">
        <f aca="false">(8*4)+(2*26.55)+(1.5*26.55)+(8.5*0.6)+(26.55*0.6*2)+((8*0.6*2)+(26.55*0.6*2)+((2+0.15+6.8+0.15+1.2)*0.06))</f>
        <v>203.963</v>
      </c>
      <c r="G15" s="20"/>
      <c r="H15" s="20"/>
      <c r="I15" s="21" t="s">
        <v>36</v>
      </c>
      <c r="J15" s="22" t="n">
        <v>2</v>
      </c>
      <c r="K15" s="21" t="n">
        <f aca="false">(1.5*1)*J15</f>
        <v>3</v>
      </c>
    </row>
    <row r="16" customFormat="false" ht="13.8" hidden="false" customHeight="true" outlineLevel="0" collapsed="false">
      <c r="A16" s="10" t="s">
        <v>25</v>
      </c>
      <c r="B16" s="10"/>
      <c r="C16" s="15" t="n">
        <f aca="false">SUM(C5:C15)</f>
        <v>321.26</v>
      </c>
      <c r="D16" s="15" t="n">
        <f aca="false">SUM(D5:D15)</f>
        <v>21.36</v>
      </c>
      <c r="E16" s="15" t="n">
        <f aca="false">SUM(E5:E15)</f>
        <v>203.963</v>
      </c>
      <c r="G16" s="20"/>
      <c r="H16" s="20"/>
      <c r="I16" s="21" t="s">
        <v>19</v>
      </c>
      <c r="J16" s="22" t="n">
        <v>5</v>
      </c>
      <c r="K16" s="21" t="n">
        <f aca="false">(2*0.6)*J16</f>
        <v>6</v>
      </c>
    </row>
    <row r="17" customFormat="false" ht="13.8" hidden="false" customHeight="false" outlineLevel="0" collapsed="false">
      <c r="A17" s="9"/>
      <c r="B17" s="9"/>
      <c r="C17" s="9"/>
      <c r="D17" s="9"/>
      <c r="E17" s="9"/>
      <c r="G17" s="20"/>
      <c r="H17" s="20"/>
      <c r="I17" s="16" t="s">
        <v>25</v>
      </c>
      <c r="J17" s="17" t="n">
        <f aca="false">SUM(J14:J16)</f>
        <v>15</v>
      </c>
      <c r="K17" s="16" t="n">
        <f aca="false">SUM(K14:K16)</f>
        <v>22.44</v>
      </c>
    </row>
    <row r="18" customFormat="false" ht="13.8" hidden="false" customHeight="true" outlineLevel="0" collapsed="false">
      <c r="A18" s="10" t="s">
        <v>33</v>
      </c>
      <c r="B18" s="10"/>
      <c r="C18" s="10"/>
      <c r="D18" s="10"/>
      <c r="E18" s="10"/>
      <c r="G18" s="20"/>
      <c r="H18" s="20" t="s">
        <v>27</v>
      </c>
      <c r="I18" s="21" t="s">
        <v>28</v>
      </c>
      <c r="J18" s="22" t="n">
        <v>4</v>
      </c>
      <c r="K18" s="21" t="n">
        <f aca="false">(0.8*2.1)*J18</f>
        <v>6.72</v>
      </c>
    </row>
    <row r="19" customFormat="false" ht="25.35" hidden="false" customHeight="true" outlineLevel="0" collapsed="false">
      <c r="A19" s="10" t="s">
        <v>3</v>
      </c>
      <c r="B19" s="10"/>
      <c r="C19" s="15" t="s">
        <v>4</v>
      </c>
      <c r="D19" s="15" t="s">
        <v>5</v>
      </c>
      <c r="E19" s="15" t="s">
        <v>6</v>
      </c>
      <c r="G19" s="20"/>
      <c r="H19" s="20"/>
      <c r="I19" s="16" t="s">
        <v>25</v>
      </c>
      <c r="J19" s="17" t="n">
        <f aca="false">SUM(J18)</f>
        <v>4</v>
      </c>
      <c r="K19" s="16" t="n">
        <f aca="false">SUM(K18)</f>
        <v>6.72</v>
      </c>
    </row>
    <row r="20" customFormat="false" ht="13.8" hidden="false" customHeight="true" outlineLevel="0" collapsed="false">
      <c r="A20" s="18" t="s">
        <v>37</v>
      </c>
      <c r="B20" s="18"/>
      <c r="C20" s="19" t="n">
        <v>12.75</v>
      </c>
      <c r="D20" s="19"/>
      <c r="E20" s="19"/>
      <c r="G20" s="20" t="s">
        <v>38</v>
      </c>
      <c r="H20" s="20" t="s">
        <v>14</v>
      </c>
      <c r="I20" s="21" t="s">
        <v>19</v>
      </c>
      <c r="J20" s="22" t="n">
        <v>3</v>
      </c>
      <c r="K20" s="21" t="n">
        <f aca="false">(2*0.6)*J20</f>
        <v>3.6</v>
      </c>
    </row>
    <row r="21" customFormat="false" ht="13.8" hidden="false" customHeight="true" outlineLevel="0" collapsed="false">
      <c r="A21" s="18" t="s">
        <v>39</v>
      </c>
      <c r="B21" s="18"/>
      <c r="C21" s="19" t="n">
        <v>26.5</v>
      </c>
      <c r="D21" s="19"/>
      <c r="E21" s="19"/>
      <c r="G21" s="20"/>
      <c r="H21" s="20"/>
      <c r="I21" s="21" t="s">
        <v>17</v>
      </c>
      <c r="J21" s="22" t="n">
        <v>2</v>
      </c>
      <c r="K21" s="21" t="n">
        <f aca="false">(2*1)*J21</f>
        <v>4</v>
      </c>
    </row>
    <row r="22" customFormat="false" ht="13.8" hidden="false" customHeight="true" outlineLevel="0" collapsed="false">
      <c r="A22" s="18" t="s">
        <v>40</v>
      </c>
      <c r="B22" s="18"/>
      <c r="C22" s="19"/>
      <c r="D22" s="19" t="n">
        <f aca="false">35.75+18.45+5.11</f>
        <v>59.31</v>
      </c>
      <c r="E22" s="19"/>
      <c r="G22" s="20"/>
      <c r="H22" s="20"/>
      <c r="I22" s="16" t="s">
        <v>25</v>
      </c>
      <c r="J22" s="17" t="n">
        <f aca="false">SUM(J20:J21)</f>
        <v>5</v>
      </c>
      <c r="K22" s="16" t="n">
        <f aca="false">SUM(K20:K21)</f>
        <v>7.6</v>
      </c>
    </row>
    <row r="23" customFormat="false" ht="13.8" hidden="false" customHeight="true" outlineLevel="0" collapsed="false">
      <c r="A23" s="18" t="s">
        <v>41</v>
      </c>
      <c r="B23" s="18"/>
      <c r="C23" s="19"/>
      <c r="D23" s="19" t="n">
        <f aca="false">20.4+19.05+3.35</f>
        <v>42.8</v>
      </c>
      <c r="E23" s="19"/>
      <c r="G23" s="20"/>
      <c r="H23" s="20" t="s">
        <v>27</v>
      </c>
      <c r="I23" s="21" t="s">
        <v>30</v>
      </c>
      <c r="J23" s="22" t="n">
        <v>2</v>
      </c>
      <c r="K23" s="21" t="n">
        <f aca="false">(2*2.1)*J23</f>
        <v>8.4</v>
      </c>
    </row>
    <row r="24" customFormat="false" ht="13.8" hidden="false" customHeight="true" outlineLevel="0" collapsed="false">
      <c r="A24" s="18" t="s">
        <v>42</v>
      </c>
      <c r="B24" s="18"/>
      <c r="C24" s="24"/>
      <c r="D24" s="24"/>
      <c r="E24" s="19" t="n">
        <f aca="false">2.12+(1*24.5)</f>
        <v>26.62</v>
      </c>
      <c r="G24" s="20"/>
      <c r="H24" s="20"/>
      <c r="I24" s="21" t="s">
        <v>28</v>
      </c>
      <c r="J24" s="22" t="n">
        <v>3</v>
      </c>
      <c r="K24" s="21" t="n">
        <f aca="false">(0.8*2.1)*J24</f>
        <v>5.04</v>
      </c>
    </row>
    <row r="25" customFormat="false" ht="13.8" hidden="false" customHeight="true" outlineLevel="0" collapsed="false">
      <c r="A25" s="10" t="s">
        <v>25</v>
      </c>
      <c r="B25" s="10"/>
      <c r="C25" s="15" t="n">
        <f aca="false">SUM(C20:C24)</f>
        <v>39.25</v>
      </c>
      <c r="D25" s="15" t="n">
        <f aca="false">SUM(D20:D24)</f>
        <v>102.11</v>
      </c>
      <c r="E25" s="15" t="n">
        <f aca="false">SUM(E20:E24)</f>
        <v>26.62</v>
      </c>
      <c r="G25" s="20"/>
      <c r="H25" s="20"/>
      <c r="I25" s="16" t="s">
        <v>25</v>
      </c>
      <c r="J25" s="17" t="n">
        <f aca="false">SUM(J23:J24)</f>
        <v>5</v>
      </c>
      <c r="K25" s="16" t="n">
        <f aca="false">SUM(K23:K24)</f>
        <v>13.44</v>
      </c>
    </row>
    <row r="26" customFormat="false" ht="13.8" hidden="false" customHeight="true" outlineLevel="0" collapsed="false">
      <c r="A26" s="9"/>
      <c r="B26" s="9"/>
      <c r="C26" s="9"/>
      <c r="D26" s="9"/>
      <c r="E26" s="9"/>
      <c r="G26" s="20" t="s">
        <v>43</v>
      </c>
      <c r="H26" s="20" t="s">
        <v>14</v>
      </c>
      <c r="I26" s="21" t="s">
        <v>44</v>
      </c>
      <c r="J26" s="22" t="n">
        <v>5</v>
      </c>
      <c r="K26" s="21" t="n">
        <f aca="false">(2*1.2)*J26</f>
        <v>12</v>
      </c>
    </row>
    <row r="27" customFormat="false" ht="13.8" hidden="false" customHeight="true" outlineLevel="0" collapsed="false">
      <c r="A27" s="10" t="s">
        <v>38</v>
      </c>
      <c r="B27" s="10"/>
      <c r="C27" s="10"/>
      <c r="D27" s="10"/>
      <c r="E27" s="10"/>
      <c r="G27" s="20"/>
      <c r="H27" s="20"/>
      <c r="I27" s="21" t="s">
        <v>45</v>
      </c>
      <c r="J27" s="22" t="n">
        <v>3</v>
      </c>
      <c r="K27" s="21" t="n">
        <f aca="false">(3*1.2)*J27</f>
        <v>10.8</v>
      </c>
    </row>
    <row r="28" customFormat="false" ht="25.35" hidden="false" customHeight="true" outlineLevel="0" collapsed="false">
      <c r="A28" s="10" t="s">
        <v>3</v>
      </c>
      <c r="B28" s="10"/>
      <c r="C28" s="15" t="s">
        <v>4</v>
      </c>
      <c r="D28" s="15" t="s">
        <v>5</v>
      </c>
      <c r="E28" s="15" t="s">
        <v>6</v>
      </c>
      <c r="G28" s="20"/>
      <c r="H28" s="20"/>
      <c r="I28" s="21" t="s">
        <v>46</v>
      </c>
      <c r="J28" s="22" t="n">
        <v>8</v>
      </c>
      <c r="K28" s="21" t="n">
        <f aca="false">(2.2*1)*J28</f>
        <v>17.6</v>
      </c>
    </row>
    <row r="29" customFormat="false" ht="13.8" hidden="false" customHeight="true" outlineLevel="0" collapsed="false">
      <c r="A29" s="18" t="s">
        <v>47</v>
      </c>
      <c r="B29" s="18"/>
      <c r="C29" s="19" t="n">
        <v>38.92</v>
      </c>
      <c r="D29" s="19"/>
      <c r="E29" s="19"/>
      <c r="G29" s="20"/>
      <c r="H29" s="20"/>
      <c r="I29" s="16" t="s">
        <v>25</v>
      </c>
      <c r="J29" s="17" t="n">
        <f aca="false">SUM(J26:J28)</f>
        <v>16</v>
      </c>
      <c r="K29" s="16" t="n">
        <f aca="false">SUM(K26:K28)</f>
        <v>40.4</v>
      </c>
    </row>
    <row r="30" customFormat="false" ht="13.8" hidden="false" customHeight="true" outlineLevel="0" collapsed="false">
      <c r="A30" s="18" t="s">
        <v>48</v>
      </c>
      <c r="B30" s="18"/>
      <c r="C30" s="19"/>
      <c r="D30" s="19" t="n">
        <v>33.8</v>
      </c>
      <c r="E30" s="19"/>
      <c r="G30" s="20"/>
      <c r="H30" s="20" t="s">
        <v>27</v>
      </c>
      <c r="I30" s="21" t="s">
        <v>30</v>
      </c>
      <c r="J30" s="22" t="n">
        <v>1</v>
      </c>
      <c r="K30" s="21" t="n">
        <f aca="false">(2*2.1)*J30</f>
        <v>4.2</v>
      </c>
    </row>
    <row r="31" customFormat="false" ht="13.8" hidden="false" customHeight="true" outlineLevel="0" collapsed="false">
      <c r="A31" s="18" t="s">
        <v>49</v>
      </c>
      <c r="B31" s="18"/>
      <c r="D31" s="19"/>
      <c r="E31" s="19" t="n">
        <f aca="false">(4*17.45)+5.85</f>
        <v>75.65</v>
      </c>
      <c r="G31" s="20"/>
      <c r="H31" s="20"/>
      <c r="I31" s="16" t="s">
        <v>25</v>
      </c>
      <c r="J31" s="17" t="n">
        <f aca="false">SUM(J30)</f>
        <v>1</v>
      </c>
      <c r="K31" s="16" t="n">
        <f aca="false">SUM(K30)</f>
        <v>4.2</v>
      </c>
    </row>
    <row r="32" customFormat="false" ht="13.8" hidden="false" customHeight="true" outlineLevel="0" collapsed="false">
      <c r="A32" s="10" t="s">
        <v>25</v>
      </c>
      <c r="B32" s="10"/>
      <c r="C32" s="15" t="n">
        <f aca="false">SUM(C29:C31)</f>
        <v>38.92</v>
      </c>
      <c r="D32" s="15" t="n">
        <f aca="false">SUM(D29:D31)</f>
        <v>33.8</v>
      </c>
      <c r="E32" s="15" t="n">
        <f aca="false">SUM(E29:E31)</f>
        <v>75.65</v>
      </c>
      <c r="G32" s="20" t="s">
        <v>50</v>
      </c>
      <c r="H32" s="20" t="s">
        <v>14</v>
      </c>
      <c r="I32" s="21" t="s">
        <v>51</v>
      </c>
      <c r="J32" s="22" t="n">
        <v>1</v>
      </c>
      <c r="K32" s="21" t="n">
        <f aca="false">(0.6*0.6)*J32</f>
        <v>0.36</v>
      </c>
    </row>
    <row r="33" customFormat="false" ht="13.8" hidden="false" customHeight="false" outlineLevel="0" collapsed="false">
      <c r="A33" s="9"/>
      <c r="B33" s="9"/>
      <c r="C33" s="9"/>
      <c r="D33" s="9"/>
      <c r="E33" s="9"/>
      <c r="G33" s="20"/>
      <c r="H33" s="20"/>
      <c r="I33" s="21" t="s">
        <v>52</v>
      </c>
      <c r="J33" s="22" t="n">
        <v>1</v>
      </c>
      <c r="K33" s="21" t="n">
        <f aca="false">(0.5*0.5)*J33</f>
        <v>0.25</v>
      </c>
    </row>
    <row r="34" customFormat="false" ht="13.8" hidden="false" customHeight="true" outlineLevel="0" collapsed="false">
      <c r="A34" s="10" t="s">
        <v>53</v>
      </c>
      <c r="B34" s="10"/>
      <c r="C34" s="10"/>
      <c r="D34" s="10"/>
      <c r="E34" s="10"/>
      <c r="G34" s="20"/>
      <c r="H34" s="20"/>
      <c r="I34" s="21" t="s">
        <v>54</v>
      </c>
      <c r="J34" s="22" t="n">
        <v>5</v>
      </c>
      <c r="K34" s="21" t="n">
        <f aca="false">(2*1.1)*J34</f>
        <v>11</v>
      </c>
    </row>
    <row r="35" customFormat="false" ht="25.35" hidden="false" customHeight="true" outlineLevel="0" collapsed="false">
      <c r="A35" s="10" t="s">
        <v>3</v>
      </c>
      <c r="B35" s="10"/>
      <c r="C35" s="15" t="s">
        <v>4</v>
      </c>
      <c r="D35" s="15" t="s">
        <v>5</v>
      </c>
      <c r="E35" s="15" t="s">
        <v>6</v>
      </c>
      <c r="G35" s="20"/>
      <c r="H35" s="20"/>
      <c r="I35" s="21" t="s">
        <v>55</v>
      </c>
      <c r="J35" s="22" t="n">
        <v>1</v>
      </c>
      <c r="K35" s="21" t="n">
        <f aca="false">(1.5*1.2)*J35</f>
        <v>1.8</v>
      </c>
    </row>
    <row r="36" customFormat="false" ht="13.8" hidden="false" customHeight="true" outlineLevel="0" collapsed="false">
      <c r="A36" s="18" t="s">
        <v>56</v>
      </c>
      <c r="B36" s="18"/>
      <c r="C36" s="19"/>
      <c r="D36" s="19"/>
      <c r="E36" s="19" t="n">
        <v>1204.96</v>
      </c>
      <c r="G36" s="20"/>
      <c r="H36" s="20"/>
      <c r="I36" s="21" t="s">
        <v>57</v>
      </c>
      <c r="J36" s="22" t="n">
        <v>1</v>
      </c>
      <c r="K36" s="21" t="n">
        <f aca="false">(1*1)*J36</f>
        <v>1</v>
      </c>
    </row>
    <row r="37" customFormat="false" ht="13.8" hidden="false" customHeight="true" outlineLevel="0" collapsed="false">
      <c r="A37" s="10" t="s">
        <v>25</v>
      </c>
      <c r="B37" s="10"/>
      <c r="C37" s="15" t="n">
        <f aca="false">SUM(C36)</f>
        <v>0</v>
      </c>
      <c r="D37" s="15" t="n">
        <f aca="false">SUM(D36)</f>
        <v>0</v>
      </c>
      <c r="E37" s="15" t="n">
        <f aca="false">SUM(E36)</f>
        <v>1204.96</v>
      </c>
      <c r="G37" s="20"/>
      <c r="H37" s="20"/>
      <c r="I37" s="21" t="s">
        <v>46</v>
      </c>
      <c r="J37" s="22" t="n">
        <v>8</v>
      </c>
      <c r="K37" s="21" t="n">
        <f aca="false">(2.2*1)*J37</f>
        <v>17.6</v>
      </c>
    </row>
    <row r="38" customFormat="false" ht="13.8" hidden="false" customHeight="false" outlineLevel="0" collapsed="false">
      <c r="A38" s="9"/>
      <c r="B38" s="9"/>
      <c r="C38" s="9"/>
      <c r="D38" s="9"/>
      <c r="E38" s="9"/>
      <c r="G38" s="20"/>
      <c r="H38" s="20"/>
      <c r="I38" s="16" t="s">
        <v>25</v>
      </c>
      <c r="J38" s="17" t="n">
        <f aca="false">SUM(J32:J37)</f>
        <v>17</v>
      </c>
      <c r="K38" s="16" t="n">
        <f aca="false">SUM(K32:K37)</f>
        <v>32.01</v>
      </c>
    </row>
    <row r="39" customFormat="false" ht="13.8" hidden="false" customHeight="true" outlineLevel="0" collapsed="false">
      <c r="A39" s="10" t="s">
        <v>43</v>
      </c>
      <c r="B39" s="10"/>
      <c r="C39" s="10"/>
      <c r="D39" s="10"/>
      <c r="E39" s="10"/>
      <c r="G39" s="20"/>
      <c r="H39" s="20" t="s">
        <v>58</v>
      </c>
      <c r="I39" s="21" t="s">
        <v>54</v>
      </c>
      <c r="J39" s="22" t="n">
        <v>8</v>
      </c>
      <c r="K39" s="21" t="n">
        <f aca="false">(2*1.1)*J39</f>
        <v>17.6</v>
      </c>
    </row>
    <row r="40" customFormat="false" ht="25.35" hidden="false" customHeight="true" outlineLevel="0" collapsed="false">
      <c r="A40" s="10" t="s">
        <v>3</v>
      </c>
      <c r="B40" s="10"/>
      <c r="C40" s="15" t="s">
        <v>4</v>
      </c>
      <c r="D40" s="15" t="s">
        <v>5</v>
      </c>
      <c r="E40" s="15" t="s">
        <v>6</v>
      </c>
      <c r="G40" s="20"/>
      <c r="H40" s="20"/>
      <c r="I40" s="21" t="s">
        <v>52</v>
      </c>
      <c r="J40" s="22" t="n">
        <v>2</v>
      </c>
      <c r="K40" s="21" t="n">
        <f aca="false">(0.5*0.5)*J40</f>
        <v>0.5</v>
      </c>
    </row>
    <row r="41" customFormat="false" ht="13.8" hidden="false" customHeight="true" outlineLevel="0" collapsed="false">
      <c r="A41" s="18" t="s">
        <v>43</v>
      </c>
      <c r="B41" s="18"/>
      <c r="C41" s="19" t="n">
        <f aca="false">10.1*(11.1+11.25+0.15)</f>
        <v>227.25</v>
      </c>
      <c r="D41" s="19"/>
      <c r="E41" s="19"/>
      <c r="G41" s="20"/>
      <c r="H41" s="20"/>
      <c r="I41" s="21" t="s">
        <v>19</v>
      </c>
      <c r="J41" s="22" t="n">
        <v>1</v>
      </c>
      <c r="K41" s="21" t="n">
        <f aca="false">(2*0.6)*J41</f>
        <v>1.2</v>
      </c>
    </row>
    <row r="42" customFormat="false" ht="13.8" hidden="false" customHeight="true" outlineLevel="0" collapsed="false">
      <c r="A42" s="18" t="s">
        <v>59</v>
      </c>
      <c r="B42" s="18"/>
      <c r="C42" s="19" t="n">
        <f aca="false">(6*12)*2</f>
        <v>144</v>
      </c>
      <c r="D42" s="19"/>
      <c r="E42" s="19"/>
      <c r="G42" s="20"/>
      <c r="H42" s="20"/>
      <c r="I42" s="21" t="s">
        <v>57</v>
      </c>
      <c r="J42" s="22" t="n">
        <v>1</v>
      </c>
      <c r="K42" s="21" t="n">
        <f aca="false">(1*1)*J42</f>
        <v>1</v>
      </c>
    </row>
    <row r="43" customFormat="false" ht="13.8" hidden="false" customHeight="true" outlineLevel="0" collapsed="false">
      <c r="A43" s="18" t="s">
        <v>32</v>
      </c>
      <c r="B43" s="18"/>
      <c r="C43" s="24"/>
      <c r="D43" s="19" t="n">
        <f aca="false">2.2*10.1</f>
        <v>22.22</v>
      </c>
      <c r="E43" s="24"/>
      <c r="G43" s="20"/>
      <c r="H43" s="20"/>
      <c r="I43" s="16" t="s">
        <v>25</v>
      </c>
      <c r="J43" s="17" t="n">
        <f aca="false">SUM(J39:J42)</f>
        <v>12</v>
      </c>
      <c r="K43" s="16" t="n">
        <f aca="false">SUM(K39:K42)</f>
        <v>20.3</v>
      </c>
    </row>
    <row r="44" customFormat="false" ht="13.8" hidden="false" customHeight="true" outlineLevel="0" collapsed="false">
      <c r="A44" s="18" t="s">
        <v>42</v>
      </c>
      <c r="B44" s="18"/>
      <c r="C44" s="19"/>
      <c r="D44" s="19"/>
      <c r="E44" s="19" t="n">
        <v>45.6</v>
      </c>
      <c r="G44" s="20"/>
      <c r="H44" s="20" t="s">
        <v>27</v>
      </c>
      <c r="I44" s="21" t="s">
        <v>60</v>
      </c>
      <c r="J44" s="22" t="n">
        <v>1</v>
      </c>
      <c r="K44" s="21" t="n">
        <f aca="false">(1.5*2.1)*J44</f>
        <v>3.15</v>
      </c>
    </row>
    <row r="45" customFormat="false" ht="13.8" hidden="false" customHeight="true" outlineLevel="0" collapsed="false">
      <c r="A45" s="10" t="s">
        <v>25</v>
      </c>
      <c r="B45" s="10"/>
      <c r="C45" s="15" t="n">
        <f aca="false">SUM(C41:C44)</f>
        <v>371.25</v>
      </c>
      <c r="D45" s="15" t="n">
        <f aca="false">SUM(D41:D44)</f>
        <v>22.22</v>
      </c>
      <c r="E45" s="15" t="n">
        <f aca="false">SUM(E41:E44)</f>
        <v>45.6</v>
      </c>
      <c r="G45" s="20"/>
      <c r="H45" s="20"/>
      <c r="I45" s="21" t="s">
        <v>28</v>
      </c>
      <c r="J45" s="22" t="n">
        <v>1</v>
      </c>
      <c r="K45" s="21" t="n">
        <f aca="false">(0.8*2.1)*J45</f>
        <v>1.68</v>
      </c>
    </row>
    <row r="46" customFormat="false" ht="13.8" hidden="false" customHeight="false" outlineLevel="0" collapsed="false">
      <c r="A46" s="9"/>
      <c r="B46" s="9"/>
      <c r="C46" s="9"/>
      <c r="D46" s="9"/>
      <c r="E46" s="9"/>
      <c r="G46" s="20"/>
      <c r="H46" s="20"/>
      <c r="I46" s="16" t="s">
        <v>25</v>
      </c>
      <c r="J46" s="17" t="n">
        <f aca="false">SUM(J44:J45)</f>
        <v>2</v>
      </c>
      <c r="K46" s="16" t="n">
        <f aca="false">SUM(K44:K45)</f>
        <v>4.83</v>
      </c>
    </row>
    <row r="47" customFormat="false" ht="13.8" hidden="false" customHeight="true" outlineLevel="0" collapsed="false">
      <c r="A47" s="10" t="s">
        <v>61</v>
      </c>
      <c r="B47" s="10"/>
      <c r="C47" s="10"/>
      <c r="D47" s="10"/>
      <c r="E47" s="10"/>
      <c r="G47" s="20" t="s">
        <v>62</v>
      </c>
      <c r="H47" s="20" t="s">
        <v>14</v>
      </c>
      <c r="I47" s="21" t="s">
        <v>17</v>
      </c>
      <c r="J47" s="22" t="n">
        <v>7</v>
      </c>
      <c r="K47" s="21" t="n">
        <f aca="false">(2*1)*J47</f>
        <v>14</v>
      </c>
    </row>
    <row r="48" customFormat="false" ht="25.35" hidden="false" customHeight="true" outlineLevel="0" collapsed="false">
      <c r="A48" s="10" t="s">
        <v>3</v>
      </c>
      <c r="B48" s="10"/>
      <c r="C48" s="15" t="s">
        <v>4</v>
      </c>
      <c r="D48" s="15" t="s">
        <v>5</v>
      </c>
      <c r="E48" s="15" t="s">
        <v>6</v>
      </c>
      <c r="G48" s="20"/>
      <c r="H48" s="20"/>
      <c r="I48" s="21" t="s">
        <v>63</v>
      </c>
      <c r="J48" s="22" t="n">
        <v>2</v>
      </c>
      <c r="K48" s="21" t="n">
        <f aca="false">(1.1*1)*J48</f>
        <v>2.2</v>
      </c>
    </row>
    <row r="49" customFormat="false" ht="13.8" hidden="false" customHeight="true" outlineLevel="0" collapsed="false">
      <c r="A49" s="18" t="s">
        <v>64</v>
      </c>
      <c r="B49" s="18"/>
      <c r="C49" s="19" t="n">
        <f aca="false">15.4+3.27+3</f>
        <v>21.67</v>
      </c>
      <c r="D49" s="19"/>
      <c r="E49" s="19"/>
      <c r="G49" s="20"/>
      <c r="H49" s="20"/>
      <c r="I49" s="21" t="s">
        <v>21</v>
      </c>
      <c r="J49" s="22" t="n">
        <v>2</v>
      </c>
      <c r="K49" s="21" t="n">
        <f aca="false">(1.2*0.6)*J49</f>
        <v>1.44</v>
      </c>
    </row>
    <row r="50" customFormat="false" ht="13.8" hidden="false" customHeight="true" outlineLevel="0" collapsed="false">
      <c r="A50" s="18" t="s">
        <v>65</v>
      </c>
      <c r="B50" s="18"/>
      <c r="C50" s="19" t="n">
        <v>18.44</v>
      </c>
      <c r="D50" s="19"/>
      <c r="E50" s="19"/>
      <c r="G50" s="20"/>
      <c r="H50" s="20"/>
      <c r="I50" s="16" t="s">
        <v>25</v>
      </c>
      <c r="J50" s="17" t="n">
        <f aca="false">SUM(J47:J49)</f>
        <v>11</v>
      </c>
      <c r="K50" s="16" t="n">
        <f aca="false">SUM(K47:K49)</f>
        <v>17.64</v>
      </c>
    </row>
    <row r="51" customFormat="false" ht="13.8" hidden="false" customHeight="true" outlineLevel="0" collapsed="false">
      <c r="A51" s="18" t="s">
        <v>66</v>
      </c>
      <c r="B51" s="18"/>
      <c r="C51" s="19" t="n">
        <f aca="false">21.5+18.2</f>
        <v>39.7</v>
      </c>
      <c r="D51" s="19"/>
      <c r="E51" s="19"/>
      <c r="G51" s="20"/>
      <c r="H51" s="20" t="s">
        <v>27</v>
      </c>
      <c r="I51" s="21" t="s">
        <v>30</v>
      </c>
      <c r="J51" s="22" t="n">
        <v>1</v>
      </c>
      <c r="K51" s="21" t="n">
        <f aca="false">(2*2.1)*J51</f>
        <v>4.2</v>
      </c>
    </row>
    <row r="52" customFormat="false" ht="13.8" hidden="false" customHeight="true" outlineLevel="0" collapsed="false">
      <c r="A52" s="18" t="s">
        <v>67</v>
      </c>
      <c r="B52" s="18"/>
      <c r="C52" s="19" t="n">
        <v>17.5</v>
      </c>
      <c r="D52" s="19"/>
      <c r="E52" s="19"/>
      <c r="G52" s="20"/>
      <c r="H52" s="20"/>
      <c r="I52" s="21" t="s">
        <v>68</v>
      </c>
      <c r="J52" s="22" t="n">
        <v>1</v>
      </c>
      <c r="K52" s="21" t="n">
        <f aca="false">(1*2.1)*J52</f>
        <v>2.1</v>
      </c>
    </row>
    <row r="53" customFormat="false" ht="13.8" hidden="false" customHeight="true" outlineLevel="0" collapsed="false">
      <c r="A53" s="18" t="s">
        <v>69</v>
      </c>
      <c r="B53" s="18"/>
      <c r="C53" s="19" t="n">
        <v>32.2</v>
      </c>
      <c r="D53" s="19"/>
      <c r="E53" s="19"/>
      <c r="G53" s="20"/>
      <c r="H53" s="20"/>
      <c r="I53" s="16" t="s">
        <v>25</v>
      </c>
      <c r="J53" s="17" t="n">
        <f aca="false">SUM(I51:J52)</f>
        <v>2</v>
      </c>
      <c r="K53" s="16" t="n">
        <f aca="false">SUM(K51:K52)</f>
        <v>6.3</v>
      </c>
    </row>
    <row r="54" customFormat="false" ht="13.8" hidden="false" customHeight="true" outlineLevel="0" collapsed="false">
      <c r="A54" s="18" t="s">
        <v>70</v>
      </c>
      <c r="B54" s="18"/>
      <c r="C54" s="19" t="n">
        <v>113.13</v>
      </c>
      <c r="D54" s="19"/>
      <c r="E54" s="19"/>
      <c r="G54" s="20" t="s">
        <v>71</v>
      </c>
      <c r="H54" s="20" t="s">
        <v>14</v>
      </c>
      <c r="I54" s="21" t="s">
        <v>19</v>
      </c>
      <c r="J54" s="22" t="n">
        <v>9</v>
      </c>
      <c r="K54" s="21" t="n">
        <f aca="false">(2*0.6)*J54</f>
        <v>10.8</v>
      </c>
    </row>
    <row r="55" customFormat="false" ht="13.8" hidden="false" customHeight="true" outlineLevel="0" collapsed="false">
      <c r="A55" s="18" t="s">
        <v>72</v>
      </c>
      <c r="B55" s="18"/>
      <c r="C55" s="19" t="n">
        <f aca="false">(6*12)*2</f>
        <v>144</v>
      </c>
      <c r="D55" s="19"/>
      <c r="E55" s="19"/>
      <c r="G55" s="20"/>
      <c r="H55" s="20"/>
      <c r="I55" s="21" t="s">
        <v>21</v>
      </c>
      <c r="J55" s="22" t="n">
        <v>2</v>
      </c>
      <c r="K55" s="21" t="n">
        <f aca="false">(1.2*0.6)*J55</f>
        <v>1.44</v>
      </c>
    </row>
    <row r="56" customFormat="false" ht="13.8" hidden="false" customHeight="true" outlineLevel="0" collapsed="false">
      <c r="A56" s="18" t="s">
        <v>48</v>
      </c>
      <c r="B56" s="18"/>
      <c r="C56" s="24"/>
      <c r="D56" s="19" t="n">
        <f aca="false">22.25+5+1.43</f>
        <v>28.68</v>
      </c>
      <c r="E56" s="24"/>
      <c r="G56" s="20"/>
      <c r="H56" s="20"/>
      <c r="I56" s="21" t="s">
        <v>73</v>
      </c>
      <c r="J56" s="22" t="n">
        <v>1</v>
      </c>
      <c r="K56" s="21" t="n">
        <f aca="false">(3.5*1.15)*J56</f>
        <v>4.025</v>
      </c>
    </row>
    <row r="57" customFormat="false" ht="13.8" hidden="false" customHeight="true" outlineLevel="0" collapsed="false">
      <c r="A57" s="10" t="s">
        <v>25</v>
      </c>
      <c r="B57" s="10"/>
      <c r="C57" s="15" t="n">
        <f aca="false">SUM(C49:C56)</f>
        <v>386.64</v>
      </c>
      <c r="D57" s="15" t="n">
        <f aca="false">SUM(D49:D56)</f>
        <v>28.68</v>
      </c>
      <c r="E57" s="15" t="n">
        <f aca="false">SUM(E49:E56)</f>
        <v>0</v>
      </c>
      <c r="G57" s="20"/>
      <c r="H57" s="20"/>
      <c r="I57" s="16" t="s">
        <v>25</v>
      </c>
      <c r="J57" s="17" t="n">
        <f aca="false">SUM(J54:J56)</f>
        <v>12</v>
      </c>
      <c r="K57" s="16" t="n">
        <f aca="false">SUM(K54:K56)</f>
        <v>16.265</v>
      </c>
    </row>
    <row r="58" customFormat="false" ht="13.8" hidden="false" customHeight="true" outlineLevel="0" collapsed="false">
      <c r="A58" s="9"/>
      <c r="B58" s="9"/>
      <c r="C58" s="9"/>
      <c r="D58" s="9"/>
      <c r="E58" s="9"/>
      <c r="G58" s="20"/>
      <c r="H58" s="20" t="s">
        <v>27</v>
      </c>
      <c r="I58" s="21" t="s">
        <v>74</v>
      </c>
      <c r="J58" s="22" t="n">
        <v>1</v>
      </c>
      <c r="K58" s="21" t="n">
        <f aca="false">(4*2.3)*J58</f>
        <v>9.2</v>
      </c>
    </row>
    <row r="59" customFormat="false" ht="13.8" hidden="false" customHeight="true" outlineLevel="0" collapsed="false">
      <c r="A59" s="10" t="s">
        <v>62</v>
      </c>
      <c r="B59" s="10"/>
      <c r="C59" s="10"/>
      <c r="D59" s="10"/>
      <c r="E59" s="10"/>
      <c r="G59" s="20"/>
      <c r="H59" s="20"/>
      <c r="I59" s="21" t="s">
        <v>60</v>
      </c>
      <c r="J59" s="22" t="n">
        <v>1</v>
      </c>
      <c r="K59" s="21" t="n">
        <f aca="false">(1.5*2.1)*J59</f>
        <v>3.15</v>
      </c>
    </row>
    <row r="60" customFormat="false" ht="25.35" hidden="false" customHeight="true" outlineLevel="0" collapsed="false">
      <c r="A60" s="10" t="s">
        <v>3</v>
      </c>
      <c r="B60" s="10"/>
      <c r="C60" s="15" t="s">
        <v>4</v>
      </c>
      <c r="D60" s="15" t="s">
        <v>5</v>
      </c>
      <c r="E60" s="15" t="s">
        <v>6</v>
      </c>
      <c r="G60" s="20"/>
      <c r="H60" s="20"/>
      <c r="I60" s="16" t="s">
        <v>25</v>
      </c>
      <c r="J60" s="17" t="n">
        <f aca="false">SUM(J58:J59)</f>
        <v>2</v>
      </c>
      <c r="K60" s="16" t="n">
        <f aca="false">SUM(K58:K59)</f>
        <v>12.35</v>
      </c>
    </row>
    <row r="61" customFormat="false" ht="13.8" hidden="false" customHeight="true" outlineLevel="0" collapsed="false">
      <c r="A61" s="18" t="s">
        <v>75</v>
      </c>
      <c r="B61" s="18"/>
      <c r="C61" s="19" t="n">
        <v>241.89</v>
      </c>
      <c r="D61" s="19"/>
      <c r="E61" s="19"/>
      <c r="G61" s="20" t="s">
        <v>76</v>
      </c>
      <c r="H61" s="20" t="s">
        <v>14</v>
      </c>
      <c r="I61" s="21" t="s">
        <v>19</v>
      </c>
      <c r="J61" s="22" t="n">
        <v>2</v>
      </c>
      <c r="K61" s="21" t="n">
        <f aca="false">(2*0.6)*J61</f>
        <v>2.4</v>
      </c>
    </row>
    <row r="62" customFormat="false" ht="13.8" hidden="false" customHeight="true" outlineLevel="0" collapsed="false">
      <c r="A62" s="18" t="s">
        <v>77</v>
      </c>
      <c r="B62" s="18"/>
      <c r="C62" s="24"/>
      <c r="D62" s="24"/>
      <c r="E62" s="19" t="n">
        <v>18.9</v>
      </c>
      <c r="G62" s="20"/>
      <c r="H62" s="20"/>
      <c r="I62" s="16" t="s">
        <v>25</v>
      </c>
      <c r="J62" s="17" t="n">
        <f aca="false">SUM(J61)</f>
        <v>2</v>
      </c>
      <c r="K62" s="16" t="n">
        <f aca="false">SUM(K61)</f>
        <v>2.4</v>
      </c>
    </row>
    <row r="63" customFormat="false" ht="13.8" hidden="false" customHeight="true" outlineLevel="0" collapsed="false">
      <c r="A63" s="10" t="s">
        <v>25</v>
      </c>
      <c r="B63" s="10"/>
      <c r="C63" s="15" t="n">
        <f aca="false">SUM(C61:C62)</f>
        <v>241.89</v>
      </c>
      <c r="D63" s="15" t="n">
        <f aca="false">SUM(D61:D62)</f>
        <v>0</v>
      </c>
      <c r="E63" s="15" t="n">
        <f aca="false">SUM(E61:E62)</f>
        <v>18.9</v>
      </c>
      <c r="G63" s="20"/>
      <c r="H63" s="20" t="s">
        <v>27</v>
      </c>
      <c r="I63" s="21" t="s">
        <v>28</v>
      </c>
      <c r="J63" s="22" t="n">
        <v>2</v>
      </c>
      <c r="K63" s="21" t="n">
        <f aca="false">(0.8*2.1)*J63</f>
        <v>3.36</v>
      </c>
    </row>
    <row r="64" customFormat="false" ht="13.8" hidden="false" customHeight="false" outlineLevel="0" collapsed="false">
      <c r="A64" s="9"/>
      <c r="B64" s="9"/>
      <c r="C64" s="9"/>
      <c r="D64" s="9"/>
      <c r="E64" s="9"/>
      <c r="G64" s="20"/>
      <c r="H64" s="20"/>
      <c r="I64" s="16" t="s">
        <v>25</v>
      </c>
      <c r="J64" s="17" t="n">
        <f aca="false">SUM(J63)</f>
        <v>2</v>
      </c>
      <c r="K64" s="16" t="n">
        <f aca="false">SUM(K63)</f>
        <v>3.36</v>
      </c>
    </row>
    <row r="65" customFormat="false" ht="13.8" hidden="false" customHeight="true" outlineLevel="0" collapsed="false">
      <c r="A65" s="10" t="s">
        <v>71</v>
      </c>
      <c r="B65" s="10"/>
      <c r="C65" s="10"/>
      <c r="D65" s="10"/>
      <c r="E65" s="10"/>
      <c r="G65" s="20" t="s">
        <v>78</v>
      </c>
      <c r="H65" s="20" t="s">
        <v>14</v>
      </c>
      <c r="I65" s="21" t="s">
        <v>19</v>
      </c>
      <c r="J65" s="22" t="n">
        <v>4</v>
      </c>
      <c r="K65" s="21" t="n">
        <f aca="false">(2*0.6)*J65</f>
        <v>4.8</v>
      </c>
    </row>
    <row r="66" customFormat="false" ht="25.35" hidden="false" customHeight="true" outlineLevel="0" collapsed="false">
      <c r="A66" s="10" t="s">
        <v>3</v>
      </c>
      <c r="B66" s="10"/>
      <c r="C66" s="15" t="s">
        <v>4</v>
      </c>
      <c r="D66" s="15" t="s">
        <v>5</v>
      </c>
      <c r="E66" s="15" t="s">
        <v>6</v>
      </c>
      <c r="G66" s="20"/>
      <c r="H66" s="20"/>
      <c r="I66" s="21" t="s">
        <v>21</v>
      </c>
      <c r="J66" s="22" t="n">
        <v>1</v>
      </c>
      <c r="K66" s="21" t="n">
        <f aca="false">(1.2*0.6)*J66</f>
        <v>0.72</v>
      </c>
    </row>
    <row r="67" customFormat="false" ht="13.8" hidden="false" customHeight="true" outlineLevel="0" collapsed="false">
      <c r="A67" s="18" t="s">
        <v>79</v>
      </c>
      <c r="B67" s="18"/>
      <c r="C67" s="19" t="n">
        <f aca="false">21.7*14.2</f>
        <v>308.14</v>
      </c>
      <c r="D67" s="19"/>
      <c r="E67" s="19"/>
      <c r="G67" s="20"/>
      <c r="H67" s="20"/>
      <c r="I67" s="16" t="s">
        <v>25</v>
      </c>
      <c r="J67" s="17" t="n">
        <f aca="false">SUM(J65:J66)</f>
        <v>5</v>
      </c>
      <c r="K67" s="16" t="n">
        <f aca="false">SUM(K65:K66)</f>
        <v>5.52</v>
      </c>
    </row>
    <row r="68" customFormat="false" ht="13.8" hidden="false" customHeight="true" outlineLevel="0" collapsed="false">
      <c r="A68" s="18" t="s">
        <v>80</v>
      </c>
      <c r="B68" s="18"/>
      <c r="C68" s="19" t="n">
        <f aca="false">(7.3*7.8)+(1.8*6.3)</f>
        <v>68.28</v>
      </c>
      <c r="D68" s="19"/>
      <c r="E68" s="19"/>
      <c r="G68" s="20"/>
      <c r="H68" s="20" t="s">
        <v>27</v>
      </c>
      <c r="I68" s="21" t="s">
        <v>28</v>
      </c>
      <c r="J68" s="22" t="n">
        <v>6</v>
      </c>
      <c r="K68" s="21" t="n">
        <f aca="false">(0.8*2.1)*J68</f>
        <v>10.08</v>
      </c>
    </row>
    <row r="69" customFormat="false" ht="13.8" hidden="false" customHeight="true" outlineLevel="0" collapsed="false">
      <c r="A69" s="18" t="s">
        <v>48</v>
      </c>
      <c r="B69" s="18"/>
      <c r="C69" s="24"/>
      <c r="D69" s="19" t="n">
        <v>32.45</v>
      </c>
      <c r="E69" s="24"/>
      <c r="G69" s="20"/>
      <c r="H69" s="20"/>
      <c r="I69" s="16" t="s">
        <v>25</v>
      </c>
      <c r="J69" s="17" t="n">
        <f aca="false">SUM(J68)</f>
        <v>6</v>
      </c>
      <c r="K69" s="16" t="n">
        <f aca="false">SUM(K68)</f>
        <v>10.08</v>
      </c>
    </row>
    <row r="70" customFormat="false" ht="13.8" hidden="false" customHeight="true" outlineLevel="0" collapsed="false">
      <c r="A70" s="10" t="s">
        <v>25</v>
      </c>
      <c r="B70" s="10"/>
      <c r="C70" s="15" t="n">
        <f aca="false">SUM(C67:C69)</f>
        <v>376.42</v>
      </c>
      <c r="D70" s="15" t="n">
        <f aca="false">SUM(D67:D69)</f>
        <v>32.45</v>
      </c>
      <c r="E70" s="15" t="n">
        <f aca="false">SUM(E67:E69)</f>
        <v>0</v>
      </c>
      <c r="G70" s="20" t="s">
        <v>81</v>
      </c>
      <c r="H70" s="20" t="s">
        <v>14</v>
      </c>
      <c r="I70" s="21" t="s">
        <v>44</v>
      </c>
      <c r="J70" s="22" t="n">
        <v>4</v>
      </c>
      <c r="K70" s="21" t="n">
        <f aca="false">(2*1.2)*J70</f>
        <v>9.6</v>
      </c>
    </row>
    <row r="71" customFormat="false" ht="13.8" hidden="false" customHeight="false" outlineLevel="0" collapsed="false">
      <c r="A71" s="9"/>
      <c r="B71" s="9"/>
      <c r="C71" s="9"/>
      <c r="D71" s="9"/>
      <c r="E71" s="9"/>
      <c r="G71" s="20"/>
      <c r="H71" s="20"/>
      <c r="I71" s="21" t="s">
        <v>82</v>
      </c>
      <c r="J71" s="22" t="n">
        <v>17</v>
      </c>
      <c r="K71" s="21" t="n">
        <f aca="false">(1.2*1.2)*J71</f>
        <v>24.48</v>
      </c>
    </row>
    <row r="72" customFormat="false" ht="13.8" hidden="false" customHeight="true" outlineLevel="0" collapsed="false">
      <c r="A72" s="10" t="s">
        <v>76</v>
      </c>
      <c r="B72" s="10"/>
      <c r="C72" s="10"/>
      <c r="D72" s="10"/>
      <c r="E72" s="10"/>
      <c r="G72" s="20"/>
      <c r="H72" s="20"/>
      <c r="I72" s="21" t="s">
        <v>83</v>
      </c>
      <c r="J72" s="22" t="n">
        <v>3</v>
      </c>
      <c r="K72" s="21" t="n">
        <f aca="false">(0.8*1.2)*J72</f>
        <v>2.88</v>
      </c>
    </row>
    <row r="73" customFormat="false" ht="25.35" hidden="false" customHeight="true" outlineLevel="0" collapsed="false">
      <c r="A73" s="10" t="s">
        <v>3</v>
      </c>
      <c r="B73" s="10"/>
      <c r="C73" s="15" t="s">
        <v>4</v>
      </c>
      <c r="D73" s="15" t="s">
        <v>5</v>
      </c>
      <c r="E73" s="15" t="s">
        <v>6</v>
      </c>
      <c r="G73" s="20"/>
      <c r="H73" s="20"/>
      <c r="I73" s="21" t="s">
        <v>84</v>
      </c>
      <c r="J73" s="22" t="n">
        <v>4</v>
      </c>
      <c r="K73" s="21" t="n">
        <f aca="false">(0.8*0.8)*J73</f>
        <v>2.56</v>
      </c>
    </row>
    <row r="74" customFormat="false" ht="13.8" hidden="false" customHeight="true" outlineLevel="0" collapsed="false">
      <c r="A74" s="18" t="s">
        <v>32</v>
      </c>
      <c r="B74" s="18"/>
      <c r="C74" s="19"/>
      <c r="D74" s="19" t="n">
        <v>75</v>
      </c>
      <c r="E74" s="24"/>
      <c r="G74" s="20"/>
      <c r="H74" s="20"/>
      <c r="I74" s="21" t="s">
        <v>85</v>
      </c>
      <c r="J74" s="22" t="n">
        <v>5</v>
      </c>
      <c r="K74" s="21" t="n">
        <f aca="false">(2*0.8)*J74</f>
        <v>8</v>
      </c>
    </row>
    <row r="75" customFormat="false" ht="13.8" hidden="false" customHeight="true" outlineLevel="0" collapsed="false">
      <c r="A75" s="18" t="s">
        <v>86</v>
      </c>
      <c r="B75" s="18"/>
      <c r="C75" s="24"/>
      <c r="D75" s="24"/>
      <c r="E75" s="19" t="n">
        <v>154.15</v>
      </c>
      <c r="G75" s="20"/>
      <c r="H75" s="20"/>
      <c r="I75" s="21" t="s">
        <v>87</v>
      </c>
      <c r="J75" s="22" t="n">
        <v>1</v>
      </c>
      <c r="K75" s="21" t="n">
        <f aca="false">(3.5*0.8)*J75</f>
        <v>2.8</v>
      </c>
    </row>
    <row r="76" customFormat="false" ht="13.8" hidden="false" customHeight="true" outlineLevel="0" collapsed="false">
      <c r="A76" s="10" t="s">
        <v>25</v>
      </c>
      <c r="B76" s="10"/>
      <c r="C76" s="15" t="n">
        <f aca="false">SUM(C74:C75)</f>
        <v>0</v>
      </c>
      <c r="D76" s="15" t="n">
        <f aca="false">SUM(D74:D75)</f>
        <v>75</v>
      </c>
      <c r="E76" s="15" t="n">
        <f aca="false">SUM(E74:E75)</f>
        <v>154.15</v>
      </c>
      <c r="G76" s="20"/>
      <c r="H76" s="20"/>
      <c r="I76" s="21" t="s">
        <v>88</v>
      </c>
      <c r="J76" s="22" t="n">
        <v>2</v>
      </c>
      <c r="K76" s="21" t="n">
        <f aca="false">(3.5*1.2)*J76</f>
        <v>8.4</v>
      </c>
    </row>
    <row r="77" customFormat="false" ht="13.8" hidden="false" customHeight="false" outlineLevel="0" collapsed="false">
      <c r="A77" s="9"/>
      <c r="B77" s="9"/>
      <c r="C77" s="9"/>
      <c r="D77" s="9"/>
      <c r="E77" s="9"/>
      <c r="G77" s="20"/>
      <c r="H77" s="20"/>
      <c r="I77" s="16" t="s">
        <v>25</v>
      </c>
      <c r="J77" s="17" t="n">
        <f aca="false">SUM(J70:J76)</f>
        <v>36</v>
      </c>
      <c r="K77" s="16" t="n">
        <f aca="false">SUM(K70:K76)</f>
        <v>58.72</v>
      </c>
    </row>
    <row r="78" customFormat="false" ht="13.8" hidden="false" customHeight="true" outlineLevel="0" collapsed="false">
      <c r="A78" s="10" t="s">
        <v>78</v>
      </c>
      <c r="B78" s="10"/>
      <c r="C78" s="10"/>
      <c r="D78" s="10"/>
      <c r="E78" s="10"/>
      <c r="G78" s="20"/>
      <c r="H78" s="20" t="s">
        <v>27</v>
      </c>
      <c r="I78" s="21" t="s">
        <v>89</v>
      </c>
      <c r="J78" s="22" t="n">
        <v>7</v>
      </c>
      <c r="K78" s="21" t="n">
        <f aca="false">(1.6*2.1)*J78</f>
        <v>23.52</v>
      </c>
    </row>
    <row r="79" customFormat="false" ht="25.35" hidden="false" customHeight="true" outlineLevel="0" collapsed="false">
      <c r="A79" s="10" t="s">
        <v>3</v>
      </c>
      <c r="B79" s="10"/>
      <c r="C79" s="15" t="s">
        <v>4</v>
      </c>
      <c r="D79" s="15" t="s">
        <v>5</v>
      </c>
      <c r="E79" s="15" t="s">
        <v>6</v>
      </c>
      <c r="G79" s="20"/>
      <c r="H79" s="20"/>
      <c r="I79" s="21" t="s">
        <v>28</v>
      </c>
      <c r="J79" s="22" t="n">
        <v>4</v>
      </c>
      <c r="K79" s="21" t="n">
        <f aca="false">(0.8*2.1)*J79</f>
        <v>6.72</v>
      </c>
    </row>
    <row r="80" customFormat="false" ht="13.8" hidden="false" customHeight="true" outlineLevel="0" collapsed="false">
      <c r="A80" s="18" t="s">
        <v>32</v>
      </c>
      <c r="B80" s="18"/>
      <c r="C80" s="19"/>
      <c r="D80" s="19" t="n">
        <v>97.8</v>
      </c>
      <c r="G80" s="20"/>
      <c r="H80" s="20"/>
      <c r="I80" s="16" t="s">
        <v>25</v>
      </c>
      <c r="J80" s="17" t="n">
        <f aca="false">SUM(J78:J79)</f>
        <v>11</v>
      </c>
      <c r="K80" s="16" t="n">
        <f aca="false">SUM(K78:K79)</f>
        <v>30.24</v>
      </c>
    </row>
    <row r="81" customFormat="false" ht="13.8" hidden="false" customHeight="true" outlineLevel="0" collapsed="false">
      <c r="A81" s="18" t="s">
        <v>86</v>
      </c>
      <c r="B81" s="18"/>
      <c r="C81" s="24"/>
      <c r="D81" s="24"/>
      <c r="E81" s="19" t="n">
        <v>330.38</v>
      </c>
      <c r="G81" s="20" t="s">
        <v>90</v>
      </c>
      <c r="H81" s="20" t="s">
        <v>14</v>
      </c>
      <c r="I81" s="21" t="s">
        <v>21</v>
      </c>
      <c r="J81" s="22"/>
      <c r="K81" s="21" t="n">
        <f aca="false">(1.2*0.6)*J81</f>
        <v>0</v>
      </c>
    </row>
    <row r="82" customFormat="false" ht="13.8" hidden="false" customHeight="true" outlineLevel="0" collapsed="false">
      <c r="A82" s="10" t="s">
        <v>25</v>
      </c>
      <c r="B82" s="10"/>
      <c r="C82" s="15" t="n">
        <f aca="false">SUM(C80:C81)</f>
        <v>0</v>
      </c>
      <c r="D82" s="15" t="n">
        <f aca="false">SUM(D80:D81)</f>
        <v>97.8</v>
      </c>
      <c r="E82" s="15" t="n">
        <f aca="false">SUM(E80:E81)</f>
        <v>330.38</v>
      </c>
      <c r="G82" s="20"/>
      <c r="H82" s="20"/>
      <c r="I82" s="21" t="s">
        <v>51</v>
      </c>
      <c r="J82" s="22"/>
      <c r="K82" s="21" t="n">
        <f aca="false">(0.6*0.6)*J82</f>
        <v>0</v>
      </c>
    </row>
    <row r="83" customFormat="false" ht="13.8" hidden="false" customHeight="false" outlineLevel="0" collapsed="false">
      <c r="A83" s="9"/>
      <c r="B83" s="9"/>
      <c r="C83" s="9"/>
      <c r="D83" s="9"/>
      <c r="E83" s="9"/>
      <c r="G83" s="20"/>
      <c r="H83" s="20"/>
      <c r="I83" s="16" t="s">
        <v>25</v>
      </c>
      <c r="J83" s="17" t="n">
        <f aca="false">SUM(J81:J82)</f>
        <v>0</v>
      </c>
      <c r="K83" s="16" t="n">
        <f aca="false">SUM(K81:K82)</f>
        <v>0</v>
      </c>
    </row>
    <row r="84" customFormat="false" ht="13.8" hidden="false" customHeight="true" outlineLevel="0" collapsed="false">
      <c r="A84" s="10" t="s">
        <v>91</v>
      </c>
      <c r="B84" s="10"/>
      <c r="C84" s="10"/>
      <c r="D84" s="10"/>
      <c r="E84" s="10"/>
      <c r="G84" s="20"/>
      <c r="H84" s="20" t="s">
        <v>27</v>
      </c>
      <c r="I84" s="21" t="s">
        <v>28</v>
      </c>
      <c r="J84" s="22"/>
      <c r="K84" s="21" t="n">
        <f aca="false">(0.8*2.1)*J84</f>
        <v>0</v>
      </c>
    </row>
    <row r="85" customFormat="false" ht="25.35" hidden="false" customHeight="true" outlineLevel="0" collapsed="false">
      <c r="A85" s="10" t="s">
        <v>3</v>
      </c>
      <c r="B85" s="10"/>
      <c r="C85" s="15" t="s">
        <v>4</v>
      </c>
      <c r="D85" s="15" t="s">
        <v>5</v>
      </c>
      <c r="E85" s="15" t="s">
        <v>6</v>
      </c>
      <c r="G85" s="20"/>
      <c r="H85" s="20"/>
      <c r="I85" s="16" t="s">
        <v>25</v>
      </c>
      <c r="J85" s="17" t="n">
        <f aca="false">SUM(J84)</f>
        <v>0</v>
      </c>
      <c r="K85" s="16" t="n">
        <f aca="false">SUM(K84)</f>
        <v>0</v>
      </c>
    </row>
    <row r="86" customFormat="false" ht="13.8" hidden="false" customHeight="true" outlineLevel="0" collapsed="false">
      <c r="A86" s="18" t="s">
        <v>92</v>
      </c>
      <c r="B86" s="18"/>
      <c r="C86" s="19" t="n">
        <v>7</v>
      </c>
      <c r="D86" s="19"/>
      <c r="E86" s="19"/>
      <c r="G86" s="20" t="s">
        <v>93</v>
      </c>
      <c r="H86" s="20" t="s">
        <v>14</v>
      </c>
      <c r="I86" s="21" t="s">
        <v>94</v>
      </c>
      <c r="J86" s="22" t="n">
        <v>4</v>
      </c>
      <c r="K86" s="21" t="n">
        <f aca="false">(2.1*1.7)*J86</f>
        <v>14.28</v>
      </c>
    </row>
    <row r="87" customFormat="false" ht="13.8" hidden="false" customHeight="true" outlineLevel="0" collapsed="false">
      <c r="A87" s="18" t="s">
        <v>95</v>
      </c>
      <c r="B87" s="18"/>
      <c r="C87" s="19" t="n">
        <v>18.12</v>
      </c>
      <c r="D87" s="19"/>
      <c r="E87" s="19"/>
      <c r="G87" s="20"/>
      <c r="H87" s="20"/>
      <c r="I87" s="21" t="s">
        <v>55</v>
      </c>
      <c r="J87" s="22" t="n">
        <v>1</v>
      </c>
      <c r="K87" s="21" t="n">
        <f aca="false">(1.5*1.2)*J87</f>
        <v>1.8</v>
      </c>
    </row>
    <row r="88" customFormat="false" ht="13.8" hidden="false" customHeight="true" outlineLevel="0" collapsed="false">
      <c r="A88" s="18" t="s">
        <v>96</v>
      </c>
      <c r="B88" s="18"/>
      <c r="C88" s="19" t="n">
        <v>71.5</v>
      </c>
      <c r="D88" s="19"/>
      <c r="E88" s="19"/>
      <c r="G88" s="20"/>
      <c r="H88" s="20"/>
      <c r="I88" s="16" t="s">
        <v>25</v>
      </c>
      <c r="J88" s="17" t="n">
        <f aca="false">SUM(J86:J87)</f>
        <v>5</v>
      </c>
      <c r="K88" s="16" t="n">
        <f aca="false">SUM(K86:K87)</f>
        <v>16.08</v>
      </c>
    </row>
    <row r="89" customFormat="false" ht="13.8" hidden="false" customHeight="true" outlineLevel="0" collapsed="false">
      <c r="A89" s="18" t="s">
        <v>97</v>
      </c>
      <c r="B89" s="18"/>
      <c r="C89" s="19" t="n">
        <v>60.4</v>
      </c>
      <c r="D89" s="19"/>
      <c r="E89" s="19"/>
      <c r="G89" s="20"/>
      <c r="H89" s="20" t="s">
        <v>27</v>
      </c>
      <c r="I89" s="21" t="s">
        <v>30</v>
      </c>
      <c r="J89" s="22" t="n">
        <v>1</v>
      </c>
      <c r="K89" s="21" t="n">
        <f aca="false">(2*2.1)*J89</f>
        <v>4.2</v>
      </c>
    </row>
    <row r="90" customFormat="false" ht="13.8" hidden="false" customHeight="true" outlineLevel="0" collapsed="false">
      <c r="A90" s="18" t="s">
        <v>98</v>
      </c>
      <c r="B90" s="18"/>
      <c r="C90" s="19" t="n">
        <v>5.47</v>
      </c>
      <c r="D90" s="19"/>
      <c r="E90" s="19"/>
      <c r="G90" s="20"/>
      <c r="H90" s="20"/>
      <c r="I90" s="16" t="s">
        <v>25</v>
      </c>
      <c r="J90" s="17" t="n">
        <f aca="false">SUM(J89)</f>
        <v>1</v>
      </c>
      <c r="K90" s="16" t="n">
        <f aca="false">SUM(K89)</f>
        <v>4.2</v>
      </c>
    </row>
    <row r="91" customFormat="false" ht="13.8" hidden="false" customHeight="true" outlineLevel="0" collapsed="false">
      <c r="A91" s="18" t="s">
        <v>99</v>
      </c>
      <c r="B91" s="18"/>
      <c r="C91" s="19" t="n">
        <v>36.74</v>
      </c>
      <c r="D91" s="19"/>
      <c r="E91" s="19"/>
      <c r="G91" s="20" t="s">
        <v>100</v>
      </c>
      <c r="H91" s="20" t="s">
        <v>14</v>
      </c>
      <c r="I91" s="21" t="s">
        <v>17</v>
      </c>
      <c r="J91" s="22" t="n">
        <v>14</v>
      </c>
      <c r="K91" s="21" t="n">
        <f aca="false">(2*1)*J91</f>
        <v>28</v>
      </c>
    </row>
    <row r="92" customFormat="false" ht="13.8" hidden="false" customHeight="true" outlineLevel="0" collapsed="false">
      <c r="A92" s="18" t="s">
        <v>101</v>
      </c>
      <c r="B92" s="18"/>
      <c r="C92" s="19" t="n">
        <v>13.63</v>
      </c>
      <c r="D92" s="19"/>
      <c r="E92" s="19"/>
      <c r="G92" s="20"/>
      <c r="H92" s="20"/>
      <c r="I92" s="16" t="s">
        <v>25</v>
      </c>
      <c r="J92" s="17" t="n">
        <f aca="false">SUM(J91)</f>
        <v>14</v>
      </c>
      <c r="K92" s="16" t="n">
        <f aca="false">SUM(K91)</f>
        <v>28</v>
      </c>
    </row>
    <row r="93" customFormat="false" ht="13.8" hidden="false" customHeight="true" outlineLevel="0" collapsed="false">
      <c r="A93" s="18" t="s">
        <v>102</v>
      </c>
      <c r="B93" s="18"/>
      <c r="C93" s="19" t="n">
        <f aca="false">2.03*2.7</f>
        <v>5.481</v>
      </c>
      <c r="D93" s="19"/>
      <c r="E93" s="19"/>
      <c r="G93" s="20"/>
      <c r="H93" s="20" t="s">
        <v>27</v>
      </c>
      <c r="I93" s="21" t="s">
        <v>103</v>
      </c>
      <c r="J93" s="22" t="n">
        <v>1</v>
      </c>
      <c r="K93" s="21" t="n">
        <f aca="false">(1.8*2.1)*J93</f>
        <v>3.78</v>
      </c>
    </row>
    <row r="94" customFormat="false" ht="13.8" hidden="false" customHeight="true" outlineLevel="0" collapsed="false">
      <c r="A94" s="18" t="s">
        <v>104</v>
      </c>
      <c r="B94" s="18"/>
      <c r="C94" s="19" t="n">
        <v>54.01</v>
      </c>
      <c r="D94" s="19"/>
      <c r="E94" s="19"/>
      <c r="G94" s="20"/>
      <c r="H94" s="20"/>
      <c r="I94" s="16" t="s">
        <v>25</v>
      </c>
      <c r="J94" s="17" t="n">
        <f aca="false">SUM(J93)</f>
        <v>1</v>
      </c>
      <c r="K94" s="16" t="n">
        <f aca="false">SUM(K93)</f>
        <v>3.78</v>
      </c>
    </row>
    <row r="95" customFormat="false" ht="13.8" hidden="false" customHeight="true" outlineLevel="0" collapsed="false">
      <c r="A95" s="18" t="s">
        <v>105</v>
      </c>
      <c r="B95" s="18"/>
      <c r="C95" s="19" t="n">
        <f aca="false">3.55*2.7</f>
        <v>9.585</v>
      </c>
      <c r="D95" s="19"/>
      <c r="E95" s="19"/>
      <c r="G95" s="20" t="s">
        <v>106</v>
      </c>
      <c r="H95" s="3" t="s">
        <v>14</v>
      </c>
      <c r="I95" s="21" t="s">
        <v>17</v>
      </c>
      <c r="J95" s="22" t="n">
        <v>3</v>
      </c>
      <c r="K95" s="21" t="n">
        <f aca="false">(2*1)*J95</f>
        <v>6</v>
      </c>
    </row>
    <row r="96" customFormat="false" ht="13.8" hidden="false" customHeight="true" outlineLevel="0" collapsed="false">
      <c r="A96" s="18" t="s">
        <v>107</v>
      </c>
      <c r="B96" s="18"/>
      <c r="C96" s="19" t="n">
        <v>8.76</v>
      </c>
      <c r="D96" s="19"/>
      <c r="E96" s="19"/>
      <c r="G96" s="20"/>
      <c r="I96" s="21" t="s">
        <v>19</v>
      </c>
      <c r="J96" s="22" t="n">
        <v>1</v>
      </c>
      <c r="K96" s="21" t="n">
        <f aca="false">(2*0.6)*J96</f>
        <v>1.2</v>
      </c>
    </row>
    <row r="97" customFormat="false" ht="13.8" hidden="false" customHeight="true" outlineLevel="0" collapsed="false">
      <c r="A97" s="18" t="s">
        <v>108</v>
      </c>
      <c r="B97" s="18"/>
      <c r="C97" s="19" t="n">
        <v>44.85</v>
      </c>
      <c r="D97" s="19"/>
      <c r="E97" s="19"/>
      <c r="G97" s="20"/>
      <c r="I97" s="16" t="s">
        <v>25</v>
      </c>
      <c r="J97" s="17" t="n">
        <f aca="false">SUM(J95:J96)</f>
        <v>4</v>
      </c>
      <c r="K97" s="16" t="n">
        <f aca="false">SUM(K95:K96)</f>
        <v>7.2</v>
      </c>
    </row>
    <row r="98" customFormat="false" ht="13.8" hidden="false" customHeight="true" outlineLevel="0" collapsed="false">
      <c r="A98" s="18" t="s">
        <v>109</v>
      </c>
      <c r="B98" s="18"/>
      <c r="C98" s="19" t="n">
        <v>5.04</v>
      </c>
      <c r="D98" s="19"/>
      <c r="E98" s="19"/>
      <c r="G98" s="20"/>
      <c r="H98" s="20" t="s">
        <v>27</v>
      </c>
      <c r="I98" s="21" t="s">
        <v>28</v>
      </c>
      <c r="J98" s="22" t="n">
        <v>1</v>
      </c>
      <c r="K98" s="21" t="n">
        <f aca="false">(0.8*2.1)*J98</f>
        <v>1.68</v>
      </c>
    </row>
    <row r="99" customFormat="false" ht="13.8" hidden="false" customHeight="true" outlineLevel="0" collapsed="false">
      <c r="A99" s="18" t="s">
        <v>110</v>
      </c>
      <c r="B99" s="18"/>
      <c r="C99" s="19" t="n">
        <v>8.87</v>
      </c>
      <c r="D99" s="19"/>
      <c r="E99" s="19"/>
      <c r="G99" s="20"/>
      <c r="H99" s="20"/>
      <c r="I99" s="16" t="s">
        <v>25</v>
      </c>
      <c r="J99" s="17" t="n">
        <f aca="false">SUM(J98)</f>
        <v>1</v>
      </c>
      <c r="K99" s="16" t="n">
        <f aca="false">SUM(K98)</f>
        <v>1.68</v>
      </c>
    </row>
    <row r="100" customFormat="false" ht="13.8" hidden="false" customHeight="true" outlineLevel="0" collapsed="false">
      <c r="A100" s="18" t="s">
        <v>111</v>
      </c>
      <c r="B100" s="18"/>
      <c r="C100" s="19" t="n">
        <v>11.96</v>
      </c>
      <c r="D100" s="19"/>
      <c r="E100" s="19"/>
      <c r="G100" s="20" t="s">
        <v>112</v>
      </c>
      <c r="H100" s="20" t="s">
        <v>14</v>
      </c>
      <c r="I100" s="21" t="s">
        <v>113</v>
      </c>
      <c r="J100" s="22" t="n">
        <v>10</v>
      </c>
      <c r="K100" s="21" t="n">
        <f aca="false">(2.3*0.6)*J100</f>
        <v>13.8</v>
      </c>
    </row>
    <row r="101" customFormat="false" ht="13.8" hidden="false" customHeight="true" outlineLevel="0" collapsed="false">
      <c r="A101" s="18" t="s">
        <v>114</v>
      </c>
      <c r="B101" s="18"/>
      <c r="C101" s="19" t="n">
        <v>4.46</v>
      </c>
      <c r="D101" s="19"/>
      <c r="E101" s="19"/>
      <c r="G101" s="20"/>
      <c r="H101" s="20"/>
      <c r="I101" s="21" t="s">
        <v>115</v>
      </c>
      <c r="J101" s="22" t="n">
        <v>8</v>
      </c>
      <c r="K101" s="21" t="n">
        <f aca="false">(1.15*0.6)*J101</f>
        <v>5.52</v>
      </c>
    </row>
    <row r="102" customFormat="false" ht="13.8" hidden="false" customHeight="true" outlineLevel="0" collapsed="false">
      <c r="A102" s="18" t="s">
        <v>116</v>
      </c>
      <c r="B102" s="18"/>
      <c r="C102" s="19" t="n">
        <f aca="false">8.74*7.29</f>
        <v>63.7146</v>
      </c>
      <c r="D102" s="19"/>
      <c r="E102" s="19"/>
      <c r="G102" s="20"/>
      <c r="H102" s="20"/>
      <c r="I102" s="21" t="s">
        <v>117</v>
      </c>
      <c r="J102" s="22" t="n">
        <v>2</v>
      </c>
      <c r="K102" s="21" t="n">
        <f aca="false">(3.4*0.6)*J102</f>
        <v>4.08</v>
      </c>
    </row>
    <row r="103" customFormat="false" ht="13.8" hidden="false" customHeight="true" outlineLevel="0" collapsed="false">
      <c r="A103" s="18" t="s">
        <v>118</v>
      </c>
      <c r="B103" s="18"/>
      <c r="C103" s="19" t="n">
        <f aca="false">3.15*3.09</f>
        <v>9.7335</v>
      </c>
      <c r="D103" s="19"/>
      <c r="E103" s="19"/>
      <c r="G103" s="20"/>
      <c r="H103" s="20"/>
      <c r="I103" s="21" t="s">
        <v>119</v>
      </c>
      <c r="J103" s="22" t="n">
        <v>16</v>
      </c>
      <c r="K103" s="21" t="n">
        <f aca="false">(3.4*1.6)*J103</f>
        <v>87.04</v>
      </c>
    </row>
    <row r="104" customFormat="false" ht="13.8" hidden="false" customHeight="true" outlineLevel="0" collapsed="false">
      <c r="A104" s="18" t="s">
        <v>120</v>
      </c>
      <c r="B104" s="18"/>
      <c r="C104" s="19" t="n">
        <f aca="false">2.67*3.15</f>
        <v>8.4105</v>
      </c>
      <c r="D104" s="19"/>
      <c r="E104" s="19"/>
      <c r="G104" s="20"/>
      <c r="H104" s="20"/>
      <c r="I104" s="16" t="s">
        <v>25</v>
      </c>
      <c r="J104" s="17" t="n">
        <f aca="false">SUM(J100:J103)</f>
        <v>36</v>
      </c>
      <c r="K104" s="16" t="n">
        <f aca="false">SUM(K100:K103)</f>
        <v>110.44</v>
      </c>
    </row>
    <row r="105" customFormat="false" ht="13.8" hidden="false" customHeight="true" outlineLevel="0" collapsed="false">
      <c r="A105" s="18" t="s">
        <v>110</v>
      </c>
      <c r="B105" s="18"/>
      <c r="C105" s="19" t="n">
        <f aca="false">3.15*2.49</f>
        <v>7.8435</v>
      </c>
      <c r="D105" s="19"/>
      <c r="E105" s="19"/>
      <c r="G105" s="20"/>
      <c r="H105" s="20" t="s">
        <v>27</v>
      </c>
      <c r="I105" s="21" t="s">
        <v>68</v>
      </c>
      <c r="J105" s="22" t="n">
        <v>10</v>
      </c>
      <c r="K105" s="21" t="n">
        <f aca="false">(1*2.1)*J105</f>
        <v>21</v>
      </c>
      <c r="L105" s="3"/>
    </row>
    <row r="106" customFormat="false" ht="13.8" hidden="false" customHeight="true" outlineLevel="0" collapsed="false">
      <c r="A106" s="18" t="s">
        <v>49</v>
      </c>
      <c r="B106" s="18"/>
      <c r="C106" s="24"/>
      <c r="D106" s="24"/>
      <c r="E106" s="19" t="n">
        <f aca="false">59.7+31.86+176.06</f>
        <v>267.62</v>
      </c>
      <c r="G106" s="20"/>
      <c r="H106" s="20"/>
      <c r="I106" s="16" t="s">
        <v>25</v>
      </c>
      <c r="J106" s="17" t="n">
        <f aca="false">SUM(J105)</f>
        <v>10</v>
      </c>
      <c r="K106" s="16" t="n">
        <f aca="false">SUM(K105)</f>
        <v>21</v>
      </c>
      <c r="L106" s="3"/>
    </row>
    <row r="107" customFormat="false" ht="13.8" hidden="false" customHeight="true" outlineLevel="0" collapsed="false">
      <c r="A107" s="10" t="s">
        <v>25</v>
      </c>
      <c r="B107" s="10"/>
      <c r="C107" s="15" t="n">
        <f aca="false">SUM(C86:C106)</f>
        <v>455.5781</v>
      </c>
      <c r="D107" s="15" t="n">
        <f aca="false">SUM(D86:D106)</f>
        <v>0</v>
      </c>
      <c r="E107" s="15" t="n">
        <f aca="false">SUM(E86:E106)</f>
        <v>267.62</v>
      </c>
      <c r="G107" s="20" t="s">
        <v>121</v>
      </c>
      <c r="H107" s="20" t="s">
        <v>14</v>
      </c>
      <c r="I107" s="21" t="s">
        <v>15</v>
      </c>
      <c r="J107" s="22" t="n">
        <v>8</v>
      </c>
      <c r="K107" s="21" t="n">
        <f aca="false">(2.5*1.2)*J107</f>
        <v>24</v>
      </c>
    </row>
    <row r="108" customFormat="false" ht="13.8" hidden="false" customHeight="false" outlineLevel="0" collapsed="false">
      <c r="A108" s="9"/>
      <c r="B108" s="9"/>
      <c r="C108" s="9"/>
      <c r="D108" s="9"/>
      <c r="E108" s="9"/>
      <c r="G108" s="20"/>
      <c r="H108" s="20"/>
      <c r="I108" s="21" t="s">
        <v>34</v>
      </c>
      <c r="J108" s="22" t="n">
        <v>8</v>
      </c>
      <c r="K108" s="21" t="n">
        <f aca="false">(2.8*0.6)*J108</f>
        <v>13.44</v>
      </c>
    </row>
    <row r="109" customFormat="false" ht="13.8" hidden="false" customHeight="true" outlineLevel="0" collapsed="false">
      <c r="A109" s="10" t="s">
        <v>122</v>
      </c>
      <c r="B109" s="10"/>
      <c r="C109" s="10"/>
      <c r="D109" s="10"/>
      <c r="E109" s="10"/>
      <c r="G109" s="20"/>
      <c r="H109" s="20"/>
      <c r="I109" s="21" t="s">
        <v>123</v>
      </c>
      <c r="J109" s="22" t="n">
        <v>2</v>
      </c>
      <c r="K109" s="21" t="n">
        <f aca="false">(0.5*0.9)*J109</f>
        <v>0.9</v>
      </c>
    </row>
    <row r="110" customFormat="false" ht="25.35" hidden="false" customHeight="true" outlineLevel="0" collapsed="false">
      <c r="A110" s="10" t="s">
        <v>3</v>
      </c>
      <c r="B110" s="10"/>
      <c r="C110" s="15" t="s">
        <v>4</v>
      </c>
      <c r="D110" s="15" t="s">
        <v>5</v>
      </c>
      <c r="E110" s="15" t="s">
        <v>6</v>
      </c>
      <c r="G110" s="20"/>
      <c r="H110" s="20"/>
      <c r="I110" s="16" t="s">
        <v>25</v>
      </c>
      <c r="J110" s="17" t="n">
        <f aca="false">SUM(J107:J109)</f>
        <v>18</v>
      </c>
      <c r="K110" s="16" t="n">
        <f aca="false">SUM(K107:K109)</f>
        <v>38.34</v>
      </c>
    </row>
    <row r="111" customFormat="false" ht="13.8" hidden="false" customHeight="true" outlineLevel="0" collapsed="false">
      <c r="A111" s="18" t="s">
        <v>124</v>
      </c>
      <c r="B111" s="18"/>
      <c r="C111" s="19" t="n">
        <v>241.08</v>
      </c>
      <c r="D111" s="19"/>
      <c r="E111" s="19"/>
      <c r="G111" s="20"/>
      <c r="H111" s="20" t="s">
        <v>27</v>
      </c>
      <c r="I111" s="21" t="s">
        <v>125</v>
      </c>
      <c r="J111" s="22" t="n">
        <v>6</v>
      </c>
      <c r="K111" s="21" t="n">
        <f aca="false">(0.9*2.1)*J111</f>
        <v>11.34</v>
      </c>
    </row>
    <row r="112" customFormat="false" ht="13.8" hidden="false" customHeight="true" outlineLevel="0" collapsed="false">
      <c r="A112" s="18" t="s">
        <v>79</v>
      </c>
      <c r="B112" s="18"/>
      <c r="C112" s="19" t="n">
        <v>9.09</v>
      </c>
      <c r="D112" s="19"/>
      <c r="E112" s="19"/>
      <c r="G112" s="20"/>
      <c r="H112" s="20"/>
      <c r="I112" s="16" t="s">
        <v>25</v>
      </c>
      <c r="J112" s="17" t="n">
        <f aca="false">SUM(J111)</f>
        <v>6</v>
      </c>
      <c r="K112" s="16" t="n">
        <f aca="false">SUM(K111)</f>
        <v>11.34</v>
      </c>
    </row>
    <row r="113" customFormat="false" ht="13.8" hidden="false" customHeight="true" outlineLevel="0" collapsed="false">
      <c r="A113" s="18" t="s">
        <v>90</v>
      </c>
      <c r="B113" s="18"/>
      <c r="C113" s="19" t="n">
        <v>330.25</v>
      </c>
      <c r="D113" s="19"/>
      <c r="E113" s="19"/>
      <c r="G113" s="20" t="s">
        <v>126</v>
      </c>
      <c r="H113" s="20" t="s">
        <v>14</v>
      </c>
      <c r="I113" s="21" t="s">
        <v>17</v>
      </c>
      <c r="J113" s="22" t="n">
        <v>8</v>
      </c>
      <c r="K113" s="21" t="n">
        <f aca="false">(2*1)*J113</f>
        <v>16</v>
      </c>
    </row>
    <row r="114" customFormat="false" ht="13.8" hidden="false" customHeight="true" outlineLevel="0" collapsed="false">
      <c r="A114" s="18" t="s">
        <v>127</v>
      </c>
      <c r="B114" s="18"/>
      <c r="C114" s="19" t="n">
        <v>25.35</v>
      </c>
      <c r="D114" s="19"/>
      <c r="E114" s="19"/>
      <c r="G114" s="20"/>
      <c r="H114" s="20"/>
      <c r="I114" s="21" t="s">
        <v>19</v>
      </c>
      <c r="J114" s="22" t="n">
        <v>10</v>
      </c>
      <c r="K114" s="21" t="n">
        <f aca="false">(2*0.6)*J114</f>
        <v>12</v>
      </c>
    </row>
    <row r="115" customFormat="false" ht="13.8" hidden="false" customHeight="true" outlineLevel="0" collapsed="false">
      <c r="A115" s="18" t="s">
        <v>128</v>
      </c>
      <c r="B115" s="18"/>
      <c r="C115" s="19" t="n">
        <v>6</v>
      </c>
      <c r="D115" s="19"/>
      <c r="E115" s="19"/>
      <c r="G115" s="20"/>
      <c r="H115" s="20"/>
      <c r="I115" s="21" t="s">
        <v>115</v>
      </c>
      <c r="J115" s="22" t="n">
        <v>1</v>
      </c>
      <c r="K115" s="21" t="n">
        <f aca="false">(1.15*0.6)*J115</f>
        <v>0.69</v>
      </c>
    </row>
    <row r="116" customFormat="false" ht="13.8" hidden="false" customHeight="true" outlineLevel="0" collapsed="false">
      <c r="A116" s="18" t="s">
        <v>32</v>
      </c>
      <c r="B116" s="18"/>
      <c r="C116" s="19"/>
      <c r="D116" s="19" t="n">
        <v>5.85</v>
      </c>
      <c r="E116" s="19"/>
      <c r="G116" s="20"/>
      <c r="H116" s="20"/>
      <c r="I116" s="16" t="s">
        <v>25</v>
      </c>
      <c r="J116" s="17" t="n">
        <f aca="false">SUM(J113:J115)</f>
        <v>19</v>
      </c>
      <c r="K116" s="16" t="n">
        <f aca="false">SUM(K113:K115)</f>
        <v>28.69</v>
      </c>
    </row>
    <row r="117" customFormat="false" ht="13.8" hidden="false" customHeight="true" outlineLevel="0" collapsed="false">
      <c r="A117" s="10" t="s">
        <v>25</v>
      </c>
      <c r="B117" s="10"/>
      <c r="C117" s="15" t="n">
        <f aca="false">SUM(C111:C116)</f>
        <v>611.77</v>
      </c>
      <c r="D117" s="15" t="n">
        <f aca="false">SUM(D111:D116)</f>
        <v>5.85</v>
      </c>
      <c r="E117" s="15" t="n">
        <f aca="false">SUM(E111:E116)</f>
        <v>0</v>
      </c>
      <c r="G117" s="20"/>
      <c r="H117" s="20" t="s">
        <v>27</v>
      </c>
      <c r="I117" s="21" t="s">
        <v>125</v>
      </c>
      <c r="J117" s="22" t="n">
        <v>6</v>
      </c>
      <c r="K117" s="21" t="n">
        <f aca="false">(0.9*2.1)*J117</f>
        <v>11.34</v>
      </c>
    </row>
    <row r="118" customFormat="false" ht="13.8" hidden="false" customHeight="false" outlineLevel="0" collapsed="false">
      <c r="A118" s="9"/>
      <c r="B118" s="9"/>
      <c r="C118" s="9"/>
      <c r="D118" s="9"/>
      <c r="E118" s="9"/>
      <c r="G118" s="20"/>
      <c r="H118" s="20"/>
      <c r="I118" s="16" t="s">
        <v>25</v>
      </c>
      <c r="J118" s="17" t="n">
        <f aca="false">SUM(J117)</f>
        <v>6</v>
      </c>
      <c r="K118" s="16" t="n">
        <f aca="false">SUM(K117)</f>
        <v>11.34</v>
      </c>
    </row>
    <row r="119" customFormat="false" ht="13.8" hidden="false" customHeight="true" outlineLevel="0" collapsed="false">
      <c r="A119" s="10" t="s">
        <v>129</v>
      </c>
      <c r="B119" s="10"/>
      <c r="C119" s="10"/>
      <c r="D119" s="10"/>
      <c r="E119" s="10"/>
      <c r="G119" s="20" t="s">
        <v>130</v>
      </c>
      <c r="H119" s="20" t="s">
        <v>14</v>
      </c>
      <c r="I119" s="21" t="s">
        <v>131</v>
      </c>
      <c r="J119" s="22" t="n">
        <v>2</v>
      </c>
      <c r="K119" s="21" t="n">
        <f aca="false">(2.25*0.8)*J119</f>
        <v>3.6</v>
      </c>
    </row>
    <row r="120" customFormat="false" ht="25.35" hidden="false" customHeight="true" outlineLevel="0" collapsed="false">
      <c r="A120" s="10" t="s">
        <v>3</v>
      </c>
      <c r="B120" s="10"/>
      <c r="C120" s="15" t="s">
        <v>4</v>
      </c>
      <c r="D120" s="15" t="s">
        <v>5</v>
      </c>
      <c r="E120" s="15" t="s">
        <v>6</v>
      </c>
      <c r="G120" s="20"/>
      <c r="H120" s="20"/>
      <c r="I120" s="21" t="s">
        <v>132</v>
      </c>
      <c r="J120" s="22" t="n">
        <v>6</v>
      </c>
      <c r="K120" s="21" t="n">
        <f aca="false">(2*1.45)*J120</f>
        <v>17.4</v>
      </c>
    </row>
    <row r="121" customFormat="false" ht="13.8" hidden="false" customHeight="true" outlineLevel="0" collapsed="false">
      <c r="A121" s="18" t="s">
        <v>133</v>
      </c>
      <c r="B121" s="18"/>
      <c r="C121" s="19" t="n">
        <v>42.29</v>
      </c>
      <c r="D121" s="19"/>
      <c r="E121" s="19"/>
      <c r="G121" s="20"/>
      <c r="H121" s="20"/>
      <c r="I121" s="21" t="s">
        <v>134</v>
      </c>
      <c r="J121" s="22" t="n">
        <v>7</v>
      </c>
      <c r="K121" s="21" t="n">
        <f aca="false">(2.5*1.45)*J121</f>
        <v>25.375</v>
      </c>
    </row>
    <row r="122" customFormat="false" ht="13.8" hidden="false" customHeight="true" outlineLevel="0" collapsed="false">
      <c r="A122" s="18" t="s">
        <v>135</v>
      </c>
      <c r="B122" s="18"/>
      <c r="C122" s="19" t="n">
        <v>10.2</v>
      </c>
      <c r="D122" s="19"/>
      <c r="E122" s="19"/>
      <c r="G122" s="20"/>
      <c r="H122" s="20"/>
      <c r="I122" s="21" t="s">
        <v>84</v>
      </c>
      <c r="J122" s="22" t="n">
        <v>1</v>
      </c>
      <c r="K122" s="21" t="n">
        <f aca="false">(0.8*0.8)*J122</f>
        <v>0.64</v>
      </c>
    </row>
    <row r="123" customFormat="false" ht="13.8" hidden="false" customHeight="true" outlineLevel="0" collapsed="false">
      <c r="A123" s="10" t="s">
        <v>25</v>
      </c>
      <c r="B123" s="10"/>
      <c r="C123" s="15" t="n">
        <f aca="false">SUM(C121:C122)</f>
        <v>52.49</v>
      </c>
      <c r="D123" s="15" t="n">
        <f aca="false">SUM(D121:D122)</f>
        <v>0</v>
      </c>
      <c r="E123" s="15" t="n">
        <f aca="false">SUM(E121:E122)</f>
        <v>0</v>
      </c>
      <c r="G123" s="20"/>
      <c r="H123" s="20"/>
      <c r="I123" s="16" t="s">
        <v>25</v>
      </c>
      <c r="J123" s="17" t="n">
        <f aca="false">SUM(J119:J122)</f>
        <v>16</v>
      </c>
      <c r="K123" s="16" t="n">
        <f aca="false">SUM(K119:K122)</f>
        <v>47.015</v>
      </c>
    </row>
    <row r="124" customFormat="false" ht="13.8" hidden="false" customHeight="true" outlineLevel="0" collapsed="false">
      <c r="A124" s="9"/>
      <c r="B124" s="9"/>
      <c r="C124" s="9"/>
      <c r="D124" s="9"/>
      <c r="E124" s="9"/>
      <c r="G124" s="20"/>
      <c r="H124" s="20" t="s">
        <v>27</v>
      </c>
      <c r="I124" s="21" t="s">
        <v>30</v>
      </c>
      <c r="J124" s="22" t="n">
        <v>2</v>
      </c>
      <c r="K124" s="21" t="n">
        <f aca="false">(2*2.1)*J124</f>
        <v>8.4</v>
      </c>
    </row>
    <row r="125" customFormat="false" ht="13.8" hidden="false" customHeight="true" outlineLevel="0" collapsed="false">
      <c r="A125" s="10" t="s">
        <v>136</v>
      </c>
      <c r="B125" s="10"/>
      <c r="C125" s="10"/>
      <c r="D125" s="10"/>
      <c r="E125" s="10"/>
      <c r="G125" s="20"/>
      <c r="H125" s="20"/>
      <c r="I125" s="16" t="s">
        <v>25</v>
      </c>
      <c r="J125" s="17" t="n">
        <f aca="false">SUM(J124)</f>
        <v>2</v>
      </c>
      <c r="K125" s="16" t="n">
        <f aca="false">SUM(K124)</f>
        <v>8.4</v>
      </c>
    </row>
    <row r="126" customFormat="false" ht="25.35" hidden="false" customHeight="true" outlineLevel="0" collapsed="false">
      <c r="A126" s="10" t="s">
        <v>3</v>
      </c>
      <c r="B126" s="10"/>
      <c r="C126" s="15" t="s">
        <v>4</v>
      </c>
      <c r="D126" s="15" t="s">
        <v>5</v>
      </c>
      <c r="E126" s="15" t="s">
        <v>6</v>
      </c>
      <c r="G126" s="20" t="s">
        <v>137</v>
      </c>
      <c r="H126" s="20" t="s">
        <v>14</v>
      </c>
      <c r="I126" s="21" t="s">
        <v>60</v>
      </c>
      <c r="J126" s="22" t="n">
        <v>8</v>
      </c>
      <c r="K126" s="21" t="n">
        <f aca="false">(1.5*2.1)*J126</f>
        <v>25.2</v>
      </c>
    </row>
    <row r="127" customFormat="false" ht="13.8" hidden="false" customHeight="true" outlineLevel="0" collapsed="false">
      <c r="A127" s="18" t="s">
        <v>138</v>
      </c>
      <c r="B127" s="18"/>
      <c r="C127" s="19" t="n">
        <v>29.85</v>
      </c>
      <c r="D127" s="19"/>
      <c r="E127" s="19"/>
      <c r="G127" s="20"/>
      <c r="H127" s="20"/>
      <c r="I127" s="21" t="s">
        <v>82</v>
      </c>
      <c r="J127" s="22" t="n">
        <v>4</v>
      </c>
      <c r="K127" s="21" t="n">
        <f aca="false">(1.2*1.2)*J127</f>
        <v>5.76</v>
      </c>
    </row>
    <row r="128" customFormat="false" ht="25.35" hidden="false" customHeight="true" outlineLevel="0" collapsed="false">
      <c r="A128" s="18" t="s">
        <v>139</v>
      </c>
      <c r="B128" s="18"/>
      <c r="C128" s="19" t="n">
        <f aca="false">54+18</f>
        <v>72</v>
      </c>
      <c r="D128" s="19"/>
      <c r="E128" s="19"/>
      <c r="G128" s="20"/>
      <c r="H128" s="20"/>
      <c r="I128" s="21" t="s">
        <v>140</v>
      </c>
      <c r="J128" s="22" t="n">
        <v>3</v>
      </c>
      <c r="K128" s="21" t="n">
        <f aca="false">(1.3*0.6)*J128</f>
        <v>2.34</v>
      </c>
    </row>
    <row r="129" customFormat="false" ht="13.8" hidden="false" customHeight="true" outlineLevel="0" collapsed="false">
      <c r="A129" s="18" t="s">
        <v>141</v>
      </c>
      <c r="B129" s="18"/>
      <c r="C129" s="19" t="n">
        <f aca="false">54+18</f>
        <v>72</v>
      </c>
      <c r="D129" s="19"/>
      <c r="E129" s="19"/>
      <c r="G129" s="20"/>
      <c r="H129" s="20"/>
      <c r="I129" s="21" t="s">
        <v>142</v>
      </c>
      <c r="J129" s="22" t="n">
        <v>2</v>
      </c>
      <c r="K129" s="21" t="n">
        <f aca="false">(2.8*0.4)*7</f>
        <v>7.84</v>
      </c>
    </row>
    <row r="130" customFormat="false" ht="13.8" hidden="false" customHeight="true" outlineLevel="0" collapsed="false">
      <c r="A130" s="18" t="s">
        <v>143</v>
      </c>
      <c r="B130" s="18"/>
      <c r="C130" s="19" t="n">
        <v>11.49</v>
      </c>
      <c r="D130" s="19"/>
      <c r="E130" s="19"/>
      <c r="G130" s="20"/>
      <c r="H130" s="20"/>
      <c r="I130" s="21" t="s">
        <v>144</v>
      </c>
      <c r="J130" s="22" t="n">
        <v>3</v>
      </c>
      <c r="K130" s="21" t="n">
        <f aca="false">(1.6*0.8)*7</f>
        <v>8.96</v>
      </c>
    </row>
    <row r="131" customFormat="false" ht="13.8" hidden="false" customHeight="true" outlineLevel="0" collapsed="false">
      <c r="A131" s="18" t="s">
        <v>145</v>
      </c>
      <c r="B131" s="18"/>
      <c r="C131" s="19" t="n">
        <v>11.49</v>
      </c>
      <c r="D131" s="19"/>
      <c r="E131" s="19"/>
      <c r="G131" s="20"/>
      <c r="H131" s="20"/>
      <c r="I131" s="21" t="s">
        <v>146</v>
      </c>
      <c r="J131" s="22" t="n">
        <v>1</v>
      </c>
      <c r="K131" s="21" t="n">
        <f aca="false">(2.9*1.2)*J131</f>
        <v>3.48</v>
      </c>
    </row>
    <row r="132" customFormat="false" ht="25.35" hidden="false" customHeight="true" outlineLevel="0" collapsed="false">
      <c r="A132" s="18" t="s">
        <v>147</v>
      </c>
      <c r="B132" s="18"/>
      <c r="C132" s="19" t="n">
        <f aca="false">54+18</f>
        <v>72</v>
      </c>
      <c r="D132" s="19"/>
      <c r="E132" s="19"/>
      <c r="G132" s="20"/>
      <c r="H132" s="20"/>
      <c r="I132" s="21" t="s">
        <v>15</v>
      </c>
      <c r="J132" s="22" t="n">
        <v>4</v>
      </c>
      <c r="K132" s="21" t="n">
        <f aca="false">(2.5*1.2)*J132</f>
        <v>12</v>
      </c>
    </row>
    <row r="133" customFormat="false" ht="13.8" hidden="false" customHeight="true" outlineLevel="0" collapsed="false">
      <c r="A133" s="18" t="s">
        <v>148</v>
      </c>
      <c r="B133" s="18"/>
      <c r="C133" s="19" t="n">
        <f aca="false">54+18</f>
        <v>72</v>
      </c>
      <c r="D133" s="19"/>
      <c r="E133" s="19"/>
      <c r="G133" s="20"/>
      <c r="H133" s="20"/>
      <c r="I133" s="21" t="s">
        <v>149</v>
      </c>
      <c r="J133" s="22" t="n">
        <v>2</v>
      </c>
      <c r="K133" s="21" t="n">
        <f aca="false">(1.4*1.2)*J133</f>
        <v>3.36</v>
      </c>
    </row>
    <row r="134" customFormat="false" ht="13.8" hidden="false" customHeight="true" outlineLevel="0" collapsed="false">
      <c r="A134" s="18" t="s">
        <v>77</v>
      </c>
      <c r="B134" s="18"/>
      <c r="C134" s="24"/>
      <c r="D134" s="24"/>
      <c r="E134" s="19" t="n">
        <v>10.75</v>
      </c>
      <c r="G134" s="20"/>
      <c r="H134" s="20"/>
      <c r="I134" s="16" t="s">
        <v>25</v>
      </c>
      <c r="J134" s="17" t="n">
        <f aca="false">SUM(J126:J133)</f>
        <v>27</v>
      </c>
      <c r="K134" s="16" t="n">
        <f aca="false">SUM(K126:K133)</f>
        <v>68.94</v>
      </c>
    </row>
    <row r="135" customFormat="false" ht="13.8" hidden="false" customHeight="true" outlineLevel="0" collapsed="false">
      <c r="A135" s="10" t="s">
        <v>25</v>
      </c>
      <c r="B135" s="10"/>
      <c r="C135" s="15" t="n">
        <f aca="false">SUM(C127:C134)</f>
        <v>340.83</v>
      </c>
      <c r="D135" s="15" t="n">
        <f aca="false">SUM(D127:D134)</f>
        <v>0</v>
      </c>
      <c r="E135" s="15" t="n">
        <f aca="false">SUM(E127:E134)</f>
        <v>10.75</v>
      </c>
      <c r="G135" s="20"/>
      <c r="H135" s="20" t="s">
        <v>27</v>
      </c>
      <c r="I135" s="21" t="s">
        <v>28</v>
      </c>
      <c r="J135" s="22" t="n">
        <v>6</v>
      </c>
      <c r="K135" s="21" t="n">
        <f aca="false">(0.8*2.1)*J135</f>
        <v>10.08</v>
      </c>
    </row>
    <row r="136" customFormat="false" ht="13.8" hidden="false" customHeight="false" outlineLevel="0" collapsed="false">
      <c r="A136" s="9"/>
      <c r="B136" s="9"/>
      <c r="C136" s="9"/>
      <c r="D136" s="9"/>
      <c r="E136" s="9"/>
      <c r="G136" s="20"/>
      <c r="H136" s="20"/>
      <c r="I136" s="21" t="s">
        <v>125</v>
      </c>
      <c r="J136" s="22" t="n">
        <v>3</v>
      </c>
      <c r="K136" s="21" t="n">
        <f aca="false">(0.9*2.1)*J136</f>
        <v>5.67</v>
      </c>
    </row>
    <row r="137" customFormat="false" ht="13.8" hidden="false" customHeight="true" outlineLevel="0" collapsed="false">
      <c r="A137" s="10" t="s">
        <v>150</v>
      </c>
      <c r="B137" s="10"/>
      <c r="C137" s="10"/>
      <c r="D137" s="10"/>
      <c r="E137" s="10"/>
      <c r="G137" s="20"/>
      <c r="H137" s="20"/>
      <c r="I137" s="16" t="s">
        <v>25</v>
      </c>
      <c r="J137" s="17" t="n">
        <f aca="false">SUM(J135:J136)</f>
        <v>9</v>
      </c>
      <c r="K137" s="16" t="n">
        <f aca="false">SUM(K135:K136)</f>
        <v>15.75</v>
      </c>
    </row>
    <row r="138" customFormat="false" ht="25.35" hidden="false" customHeight="true" outlineLevel="0" collapsed="false">
      <c r="A138" s="10" t="s">
        <v>3</v>
      </c>
      <c r="B138" s="10"/>
      <c r="C138" s="15" t="s">
        <v>4</v>
      </c>
      <c r="D138" s="15" t="s">
        <v>5</v>
      </c>
      <c r="E138" s="15" t="s">
        <v>6</v>
      </c>
      <c r="G138" s="25"/>
      <c r="H138" s="25"/>
      <c r="I138" s="25"/>
      <c r="J138" s="25"/>
      <c r="K138" s="26"/>
    </row>
    <row r="139" customFormat="false" ht="13.8" hidden="false" customHeight="true" outlineLevel="0" collapsed="false">
      <c r="A139" s="18" t="s">
        <v>151</v>
      </c>
      <c r="B139" s="18"/>
      <c r="C139" s="19" t="n">
        <f aca="false">55.67+3.88</f>
        <v>59.55</v>
      </c>
      <c r="D139" s="19"/>
      <c r="E139" s="19"/>
      <c r="G139" s="27" t="s">
        <v>152</v>
      </c>
      <c r="H139" s="27"/>
      <c r="I139" s="27"/>
      <c r="J139" s="27"/>
      <c r="K139" s="28" t="n">
        <f aca="false">K10+K17+K22+K29+K38+K50+K57+K62+K67+K77+K83+K88+K92+K97+K104+K110+K116+K123+K134</f>
        <v>600.34</v>
      </c>
    </row>
    <row r="140" customFormat="false" ht="13.8" hidden="false" customHeight="true" outlineLevel="0" collapsed="false">
      <c r="A140" s="18" t="s">
        <v>48</v>
      </c>
      <c r="B140" s="18"/>
      <c r="C140" s="24"/>
      <c r="D140" s="19" t="n">
        <f aca="false">1.94+1.94</f>
        <v>3.88</v>
      </c>
      <c r="E140" s="19"/>
      <c r="G140" s="27" t="s">
        <v>153</v>
      </c>
      <c r="H140" s="27"/>
      <c r="I140" s="27"/>
      <c r="J140" s="27"/>
      <c r="K140" s="28" t="n">
        <f aca="false">K43</f>
        <v>20.3</v>
      </c>
    </row>
    <row r="141" customFormat="false" ht="13.8" hidden="false" customHeight="true" outlineLevel="0" collapsed="false">
      <c r="A141" s="18" t="s">
        <v>77</v>
      </c>
      <c r="B141" s="18"/>
      <c r="C141" s="24"/>
      <c r="D141" s="19"/>
      <c r="E141" s="19" t="n">
        <v>16.3</v>
      </c>
      <c r="G141" s="27" t="s">
        <v>154</v>
      </c>
      <c r="H141" s="27"/>
      <c r="I141" s="27"/>
      <c r="J141" s="27"/>
      <c r="K141" s="28" t="n">
        <f aca="false">K13+K19+K25+K31+K46+K53+K60+K64+K69+K80+K85+K90+K94+K99+K106+K112+K118+K125+K137</f>
        <v>193.37</v>
      </c>
    </row>
    <row r="142" customFormat="false" ht="13.8" hidden="false" customHeight="true" outlineLevel="0" collapsed="false">
      <c r="A142" s="10" t="s">
        <v>25</v>
      </c>
      <c r="B142" s="10"/>
      <c r="C142" s="15" t="n">
        <f aca="false">SUM(C139:C141)</f>
        <v>59.55</v>
      </c>
      <c r="D142" s="15" t="n">
        <f aca="false">SUM(D139:D141)</f>
        <v>3.88</v>
      </c>
      <c r="E142" s="15" t="n">
        <f aca="false">SUM(E139:E141)</f>
        <v>16.3</v>
      </c>
    </row>
    <row r="143" customFormat="false" ht="13.8" hidden="false" customHeight="false" outlineLevel="0" collapsed="false">
      <c r="A143" s="9"/>
      <c r="B143" s="9"/>
      <c r="C143" s="9"/>
      <c r="D143" s="9"/>
      <c r="E143" s="9"/>
      <c r="G143" s="25"/>
      <c r="H143" s="25"/>
      <c r="I143" s="25"/>
      <c r="J143" s="25"/>
      <c r="K143" s="25"/>
    </row>
    <row r="144" customFormat="false" ht="13.8" hidden="false" customHeight="true" outlineLevel="0" collapsed="false">
      <c r="A144" s="10" t="s">
        <v>155</v>
      </c>
      <c r="B144" s="10"/>
      <c r="C144" s="10"/>
      <c r="D144" s="10"/>
      <c r="E144" s="10"/>
      <c r="F144" s="11"/>
      <c r="G144" s="25"/>
      <c r="H144" s="25"/>
      <c r="I144" s="25"/>
      <c r="J144" s="25"/>
      <c r="K144" s="25"/>
    </row>
    <row r="145" customFormat="false" ht="25.35" hidden="false" customHeight="true" outlineLevel="0" collapsed="false">
      <c r="A145" s="10" t="s">
        <v>3</v>
      </c>
      <c r="B145" s="10"/>
      <c r="C145" s="15" t="s">
        <v>4</v>
      </c>
      <c r="D145" s="15" t="s">
        <v>5</v>
      </c>
      <c r="E145" s="15" t="s">
        <v>6</v>
      </c>
      <c r="F145" s="11"/>
      <c r="G145" s="25"/>
      <c r="H145" s="25"/>
      <c r="I145" s="25"/>
      <c r="J145" s="25"/>
      <c r="K145" s="25"/>
    </row>
    <row r="146" customFormat="false" ht="13.8" hidden="false" customHeight="true" outlineLevel="0" collapsed="false">
      <c r="A146" s="18" t="s">
        <v>156</v>
      </c>
      <c r="B146" s="18"/>
      <c r="C146" s="19" t="n">
        <v>322</v>
      </c>
      <c r="D146" s="19"/>
      <c r="E146" s="19"/>
      <c r="G146" s="11"/>
      <c r="H146" s="29"/>
      <c r="I146" s="29"/>
      <c r="J146" s="30"/>
      <c r="K146" s="31"/>
    </row>
    <row r="147" customFormat="false" ht="13.8" hidden="false" customHeight="true" outlineLevel="0" collapsed="false">
      <c r="A147" s="18" t="s">
        <v>157</v>
      </c>
      <c r="B147" s="18"/>
      <c r="C147" s="19" t="n">
        <v>49</v>
      </c>
      <c r="D147" s="19"/>
      <c r="E147" s="19"/>
      <c r="G147" s="11"/>
      <c r="H147" s="29"/>
      <c r="I147" s="29"/>
      <c r="J147" s="30"/>
      <c r="K147" s="31"/>
    </row>
    <row r="148" customFormat="false" ht="13.8" hidden="false" customHeight="true" outlineLevel="0" collapsed="false">
      <c r="A148" s="18" t="s">
        <v>32</v>
      </c>
      <c r="B148" s="18"/>
      <c r="C148" s="24"/>
      <c r="D148" s="19" t="n">
        <v>47.93</v>
      </c>
      <c r="E148" s="19"/>
      <c r="G148" s="11"/>
      <c r="H148" s="29"/>
      <c r="I148" s="29"/>
      <c r="J148" s="30"/>
      <c r="K148" s="31"/>
    </row>
    <row r="149" customFormat="false" ht="13.8" hidden="false" customHeight="true" outlineLevel="0" collapsed="false">
      <c r="A149" s="18" t="s">
        <v>42</v>
      </c>
      <c r="B149" s="18"/>
      <c r="C149" s="24"/>
      <c r="D149" s="19"/>
      <c r="E149" s="19" t="n">
        <v>440.2</v>
      </c>
    </row>
    <row r="150" customFormat="false" ht="13.8" hidden="false" customHeight="true" outlineLevel="0" collapsed="false">
      <c r="A150" s="10" t="s">
        <v>25</v>
      </c>
      <c r="B150" s="10"/>
      <c r="C150" s="15" t="n">
        <f aca="false">SUM(C146:C149)</f>
        <v>371</v>
      </c>
      <c r="D150" s="15" t="n">
        <f aca="false">SUM(D146:D149)</f>
        <v>47.93</v>
      </c>
      <c r="E150" s="15" t="n">
        <f aca="false">SUM(E146:E149)</f>
        <v>440.2</v>
      </c>
    </row>
    <row r="151" customFormat="false" ht="13.8" hidden="false" customHeight="false" outlineLevel="0" collapsed="false">
      <c r="A151" s="9"/>
      <c r="B151" s="9"/>
      <c r="C151" s="9"/>
      <c r="D151" s="9"/>
      <c r="E151" s="9"/>
    </row>
    <row r="152" customFormat="false" ht="13.8" hidden="false" customHeight="true" outlineLevel="0" collapsed="false">
      <c r="A152" s="10" t="s">
        <v>158</v>
      </c>
      <c r="B152" s="10"/>
      <c r="C152" s="10"/>
      <c r="D152" s="10"/>
      <c r="E152" s="10"/>
    </row>
    <row r="153" customFormat="false" ht="25.35" hidden="false" customHeight="true" outlineLevel="0" collapsed="false">
      <c r="A153" s="10" t="s">
        <v>3</v>
      </c>
      <c r="B153" s="10"/>
      <c r="C153" s="15" t="s">
        <v>4</v>
      </c>
      <c r="D153" s="15" t="s">
        <v>5</v>
      </c>
      <c r="E153" s="15" t="s">
        <v>6</v>
      </c>
    </row>
    <row r="154" customFormat="false" ht="13.8" hidden="false" customHeight="true" outlineLevel="0" collapsed="false">
      <c r="A154" s="18" t="s">
        <v>159</v>
      </c>
      <c r="B154" s="18"/>
      <c r="C154" s="19" t="n">
        <f aca="false">56.22+56.55</f>
        <v>112.77</v>
      </c>
      <c r="D154" s="19"/>
      <c r="E154" s="19"/>
    </row>
    <row r="155" customFormat="false" ht="13.8" hidden="false" customHeight="true" outlineLevel="0" collapsed="false">
      <c r="A155" s="18" t="s">
        <v>160</v>
      </c>
      <c r="B155" s="18"/>
      <c r="C155" s="19" t="n">
        <v>56.55</v>
      </c>
      <c r="D155" s="19"/>
      <c r="E155" s="19"/>
    </row>
    <row r="156" customFormat="false" ht="13.8" hidden="false" customHeight="true" outlineLevel="0" collapsed="false">
      <c r="A156" s="18" t="s">
        <v>161</v>
      </c>
      <c r="B156" s="18"/>
      <c r="C156" s="19" t="n">
        <v>56.55</v>
      </c>
      <c r="D156" s="19"/>
      <c r="E156" s="19"/>
    </row>
    <row r="157" customFormat="false" ht="13.8" hidden="false" customHeight="true" outlineLevel="0" collapsed="false">
      <c r="A157" s="18" t="s">
        <v>32</v>
      </c>
      <c r="B157" s="18"/>
      <c r="C157" s="19"/>
      <c r="D157" s="19" t="n">
        <f aca="false">20.47+20.47</f>
        <v>40.94</v>
      </c>
      <c r="E157" s="19"/>
    </row>
    <row r="158" customFormat="false" ht="13.8" hidden="false" customHeight="true" outlineLevel="0" collapsed="false">
      <c r="A158" s="18" t="s">
        <v>42</v>
      </c>
      <c r="B158" s="18"/>
      <c r="C158" s="19"/>
      <c r="D158" s="19"/>
      <c r="E158" s="19" t="n">
        <v>234.56</v>
      </c>
    </row>
    <row r="159" customFormat="false" ht="13.8" hidden="false" customHeight="true" outlineLevel="0" collapsed="false">
      <c r="A159" s="10" t="s">
        <v>25</v>
      </c>
      <c r="B159" s="10"/>
      <c r="C159" s="15" t="n">
        <f aca="false">SUM(C154:C158)</f>
        <v>225.87</v>
      </c>
      <c r="D159" s="15" t="n">
        <f aca="false">SUM(D154:D158)</f>
        <v>40.94</v>
      </c>
      <c r="E159" s="15" t="n">
        <f aca="false">SUM(E154:E158)</f>
        <v>234.56</v>
      </c>
    </row>
    <row r="160" customFormat="false" ht="13.8" hidden="false" customHeight="false" outlineLevel="0" collapsed="false">
      <c r="A160" s="9"/>
      <c r="B160" s="9"/>
      <c r="C160" s="9"/>
      <c r="D160" s="9"/>
      <c r="E160" s="9"/>
    </row>
    <row r="161" customFormat="false" ht="13.8" hidden="false" customHeight="true" outlineLevel="0" collapsed="false">
      <c r="A161" s="10" t="s">
        <v>162</v>
      </c>
      <c r="B161" s="10"/>
      <c r="C161" s="10"/>
      <c r="D161" s="10"/>
      <c r="E161" s="10"/>
    </row>
    <row r="162" customFormat="false" ht="25.35" hidden="false" customHeight="true" outlineLevel="0" collapsed="false">
      <c r="A162" s="10" t="s">
        <v>3</v>
      </c>
      <c r="B162" s="10"/>
      <c r="C162" s="15" t="s">
        <v>4</v>
      </c>
      <c r="D162" s="15" t="s">
        <v>5</v>
      </c>
      <c r="E162" s="15" t="s">
        <v>6</v>
      </c>
    </row>
    <row r="163" customFormat="false" ht="13.8" hidden="false" customHeight="true" outlineLevel="0" collapsed="false">
      <c r="A163" s="18" t="s">
        <v>163</v>
      </c>
      <c r="B163" s="18"/>
      <c r="C163" s="19" t="n">
        <v>165.75</v>
      </c>
      <c r="D163" s="19"/>
      <c r="E163" s="19"/>
    </row>
    <row r="164" customFormat="false" ht="25.35" hidden="false" customHeight="true" outlineLevel="0" collapsed="false">
      <c r="A164" s="18" t="s">
        <v>164</v>
      </c>
      <c r="B164" s="18"/>
      <c r="C164" s="19" t="n">
        <v>55.25</v>
      </c>
      <c r="D164" s="19"/>
      <c r="E164" s="19"/>
    </row>
    <row r="165" customFormat="false" ht="13.8" hidden="false" customHeight="true" outlineLevel="0" collapsed="false">
      <c r="A165" s="18" t="s">
        <v>32</v>
      </c>
      <c r="B165" s="18"/>
      <c r="C165" s="19"/>
      <c r="D165" s="19" t="n">
        <v>39</v>
      </c>
      <c r="E165" s="19"/>
    </row>
    <row r="166" customFormat="false" ht="13.8" hidden="false" customHeight="true" outlineLevel="0" collapsed="false">
      <c r="A166" s="18" t="s">
        <v>42</v>
      </c>
      <c r="B166" s="18"/>
      <c r="C166" s="19"/>
      <c r="D166" s="19"/>
      <c r="E166" s="19" t="n">
        <v>61.35</v>
      </c>
    </row>
    <row r="167" customFormat="false" ht="13.8" hidden="false" customHeight="true" outlineLevel="0" collapsed="false">
      <c r="A167" s="10" t="s">
        <v>25</v>
      </c>
      <c r="B167" s="10"/>
      <c r="C167" s="15" t="n">
        <f aca="false">SUM(C163:C166)</f>
        <v>221</v>
      </c>
      <c r="D167" s="15" t="n">
        <f aca="false">SUM(D163:D166)</f>
        <v>39</v>
      </c>
      <c r="E167" s="15" t="n">
        <f aca="false">SUM(E163:E166)</f>
        <v>61.35</v>
      </c>
    </row>
    <row r="168" customFormat="false" ht="13.8" hidden="false" customHeight="false" outlineLevel="0" collapsed="false">
      <c r="A168" s="9"/>
      <c r="B168" s="9"/>
      <c r="C168" s="9"/>
      <c r="D168" s="9"/>
      <c r="E168" s="9"/>
    </row>
    <row r="169" customFormat="false" ht="13.8" hidden="false" customHeight="true" outlineLevel="0" collapsed="false">
      <c r="A169" s="10" t="s">
        <v>165</v>
      </c>
      <c r="B169" s="10"/>
      <c r="C169" s="10"/>
      <c r="D169" s="10"/>
      <c r="E169" s="10"/>
    </row>
    <row r="170" customFormat="false" ht="25.35" hidden="false" customHeight="true" outlineLevel="0" collapsed="false">
      <c r="A170" s="10" t="s">
        <v>3</v>
      </c>
      <c r="B170" s="10"/>
      <c r="C170" s="15" t="s">
        <v>4</v>
      </c>
      <c r="D170" s="15" t="s">
        <v>5</v>
      </c>
      <c r="E170" s="15" t="s">
        <v>6</v>
      </c>
    </row>
    <row r="171" customFormat="false" ht="13.8" hidden="false" customHeight="true" outlineLevel="0" collapsed="false">
      <c r="A171" s="18" t="s">
        <v>163</v>
      </c>
      <c r="B171" s="18"/>
      <c r="C171" s="19" t="n">
        <f aca="false">65.07+59.28+58.47+14+28.31</f>
        <v>225.13</v>
      </c>
      <c r="D171" s="19"/>
      <c r="E171" s="19"/>
    </row>
    <row r="172" customFormat="false" ht="13.8" hidden="false" customHeight="true" outlineLevel="0" collapsed="false">
      <c r="A172" s="18" t="s">
        <v>32</v>
      </c>
      <c r="B172" s="18"/>
      <c r="C172" s="24"/>
      <c r="D172" s="19" t="n">
        <f aca="false">13.6+2.62+2.62+13.6</f>
        <v>32.44</v>
      </c>
      <c r="E172" s="19"/>
    </row>
    <row r="173" customFormat="false" ht="13.8" hidden="false" customHeight="true" outlineLevel="0" collapsed="false">
      <c r="A173" s="18" t="s">
        <v>42</v>
      </c>
      <c r="B173" s="18"/>
      <c r="C173" s="24"/>
      <c r="D173" s="19"/>
      <c r="E173" s="19" t="n">
        <v>139.04</v>
      </c>
    </row>
    <row r="174" customFormat="false" ht="13.8" hidden="false" customHeight="true" outlineLevel="0" collapsed="false">
      <c r="A174" s="10" t="s">
        <v>25</v>
      </c>
      <c r="B174" s="10"/>
      <c r="C174" s="15" t="n">
        <f aca="false">SUM(C171:C173)</f>
        <v>225.13</v>
      </c>
      <c r="D174" s="15" t="n">
        <f aca="false">SUM(D171:D173)</f>
        <v>32.44</v>
      </c>
      <c r="E174" s="15" t="n">
        <f aca="false">SUM(E171:E173)</f>
        <v>139.04</v>
      </c>
    </row>
    <row r="175" customFormat="false" ht="13.8" hidden="false" customHeight="false" outlineLevel="0" collapsed="false">
      <c r="A175" s="9"/>
      <c r="B175" s="9"/>
      <c r="C175" s="9"/>
      <c r="D175" s="9"/>
      <c r="E175" s="9"/>
    </row>
    <row r="176" customFormat="false" ht="13.8" hidden="false" customHeight="true" outlineLevel="0" collapsed="false">
      <c r="A176" s="10" t="s">
        <v>166</v>
      </c>
      <c r="B176" s="10"/>
      <c r="C176" s="10"/>
      <c r="D176" s="10"/>
      <c r="E176" s="10"/>
    </row>
    <row r="177" customFormat="false" ht="25.35" hidden="false" customHeight="true" outlineLevel="0" collapsed="false">
      <c r="A177" s="10" t="s">
        <v>3</v>
      </c>
      <c r="B177" s="10"/>
      <c r="C177" s="15" t="s">
        <v>4</v>
      </c>
      <c r="D177" s="15" t="s">
        <v>5</v>
      </c>
      <c r="E177" s="15" t="s">
        <v>6</v>
      </c>
    </row>
    <row r="178" customFormat="false" ht="13.8" hidden="false" customHeight="true" outlineLevel="0" collapsed="false">
      <c r="A178" s="18" t="s">
        <v>167</v>
      </c>
      <c r="B178" s="18"/>
      <c r="C178" s="19" t="n">
        <v>181</v>
      </c>
      <c r="D178" s="19"/>
      <c r="E178" s="19"/>
    </row>
    <row r="179" customFormat="false" ht="25.35" hidden="false" customHeight="true" outlineLevel="0" collapsed="false">
      <c r="A179" s="18" t="s">
        <v>168</v>
      </c>
      <c r="B179" s="18"/>
      <c r="C179" s="19" t="n">
        <v>125</v>
      </c>
      <c r="D179" s="19"/>
      <c r="E179" s="19"/>
    </row>
    <row r="180" customFormat="false" ht="13.8" hidden="false" customHeight="true" outlineLevel="0" collapsed="false">
      <c r="A180" s="18" t="s">
        <v>32</v>
      </c>
      <c r="B180" s="18"/>
      <c r="C180" s="19"/>
      <c r="D180" s="19" t="n">
        <v>60.87</v>
      </c>
      <c r="E180" s="19"/>
    </row>
    <row r="181" customFormat="false" ht="13.8" hidden="false" customHeight="true" outlineLevel="0" collapsed="false">
      <c r="A181" s="18" t="s">
        <v>49</v>
      </c>
      <c r="B181" s="18"/>
      <c r="C181" s="19"/>
      <c r="D181" s="19"/>
      <c r="E181" s="19" t="n">
        <v>266.74</v>
      </c>
    </row>
    <row r="182" customFormat="false" ht="13.8" hidden="false" customHeight="true" outlineLevel="0" collapsed="false">
      <c r="A182" s="10" t="s">
        <v>25</v>
      </c>
      <c r="B182" s="10"/>
      <c r="C182" s="15" t="n">
        <f aca="false">SUM(C178:C181)</f>
        <v>306</v>
      </c>
      <c r="D182" s="15" t="n">
        <f aca="false">SUM(D178:D181)</f>
        <v>60.87</v>
      </c>
      <c r="E182" s="15" t="n">
        <f aca="false">SUM(E178:E181)</f>
        <v>266.74</v>
      </c>
    </row>
    <row r="183" customFormat="false" ht="13.8" hidden="false" customHeight="false" outlineLevel="0" collapsed="false">
      <c r="A183" s="9"/>
      <c r="B183" s="9"/>
      <c r="C183" s="9"/>
      <c r="D183" s="9"/>
      <c r="E183" s="9"/>
    </row>
    <row r="184" customFormat="false" ht="13.8" hidden="false" customHeight="true" outlineLevel="0" collapsed="false">
      <c r="A184" s="10" t="s">
        <v>169</v>
      </c>
      <c r="B184" s="10"/>
      <c r="C184" s="10"/>
      <c r="D184" s="10"/>
      <c r="E184" s="10"/>
    </row>
    <row r="185" customFormat="false" ht="25.35" hidden="false" customHeight="true" outlineLevel="0" collapsed="false">
      <c r="A185" s="10" t="s">
        <v>3</v>
      </c>
      <c r="B185" s="10"/>
      <c r="C185" s="15" t="s">
        <v>4</v>
      </c>
      <c r="D185" s="15" t="s">
        <v>5</v>
      </c>
      <c r="E185" s="15" t="s">
        <v>6</v>
      </c>
    </row>
    <row r="186" customFormat="false" ht="13.8" hidden="false" customHeight="true" outlineLevel="0" collapsed="false">
      <c r="A186" s="18" t="s">
        <v>163</v>
      </c>
      <c r="B186" s="18"/>
      <c r="C186" s="19" t="n">
        <f aca="false">(6*12)*3</f>
        <v>216</v>
      </c>
      <c r="D186" s="19"/>
      <c r="E186" s="19"/>
    </row>
    <row r="187" customFormat="false" ht="13.8" hidden="false" customHeight="true" outlineLevel="0" collapsed="false">
      <c r="A187" s="10" t="s">
        <v>25</v>
      </c>
      <c r="B187" s="10"/>
      <c r="C187" s="15" t="n">
        <f aca="false">SUM(C186:C186)</f>
        <v>216</v>
      </c>
      <c r="D187" s="15" t="n">
        <f aca="false">SUM(D186:D186)</f>
        <v>0</v>
      </c>
      <c r="E187" s="15" t="n">
        <f aca="false">SUM(E186:E186)</f>
        <v>0</v>
      </c>
    </row>
    <row r="188" customFormat="false" ht="13.8" hidden="false" customHeight="false" outlineLevel="0" collapsed="false">
      <c r="A188" s="9"/>
      <c r="B188" s="9"/>
      <c r="C188" s="9"/>
      <c r="D188" s="9"/>
      <c r="E188" s="9"/>
    </row>
    <row r="189" customFormat="false" ht="13.8" hidden="false" customHeight="true" outlineLevel="0" collapsed="false">
      <c r="A189" s="10" t="s">
        <v>170</v>
      </c>
      <c r="B189" s="10"/>
      <c r="C189" s="10"/>
      <c r="D189" s="10"/>
      <c r="E189" s="10"/>
    </row>
    <row r="190" customFormat="false" ht="25.35" hidden="false" customHeight="true" outlineLevel="0" collapsed="false">
      <c r="A190" s="10" t="s">
        <v>3</v>
      </c>
      <c r="B190" s="10"/>
      <c r="C190" s="15" t="s">
        <v>4</v>
      </c>
      <c r="D190" s="15" t="s">
        <v>5</v>
      </c>
      <c r="E190" s="15" t="s">
        <v>6</v>
      </c>
    </row>
    <row r="191" customFormat="false" ht="13.8" hidden="false" customHeight="true" outlineLevel="0" collapsed="false">
      <c r="A191" s="18" t="s">
        <v>171</v>
      </c>
      <c r="B191" s="18"/>
      <c r="C191" s="24"/>
      <c r="D191" s="23"/>
      <c r="E191" s="19" t="n">
        <v>1859.91</v>
      </c>
    </row>
    <row r="192" customFormat="false" ht="13.8" hidden="false" customHeight="true" outlineLevel="0" collapsed="false">
      <c r="A192" s="10" t="s">
        <v>25</v>
      </c>
      <c r="B192" s="10"/>
      <c r="C192" s="15" t="n">
        <f aca="false">SUM(C191:C191)</f>
        <v>0</v>
      </c>
      <c r="D192" s="15" t="n">
        <f aca="false">SUM(D191:D191)</f>
        <v>0</v>
      </c>
      <c r="E192" s="15" t="n">
        <f aca="false">SUM(E191:E191)</f>
        <v>1859.91</v>
      </c>
    </row>
    <row r="193" customFormat="false" ht="13.8" hidden="false" customHeight="false" outlineLevel="0" collapsed="false">
      <c r="A193" s="9"/>
      <c r="B193" s="9"/>
      <c r="C193" s="9"/>
      <c r="D193" s="9"/>
      <c r="E193" s="9"/>
    </row>
    <row r="194" customFormat="false" ht="13.8" hidden="false" customHeight="true" outlineLevel="0" collapsed="false">
      <c r="A194" s="10" t="s">
        <v>172</v>
      </c>
      <c r="B194" s="10"/>
      <c r="C194" s="10"/>
      <c r="D194" s="10"/>
      <c r="E194" s="10"/>
      <c r="F194" s="10"/>
    </row>
    <row r="195" customFormat="false" ht="40.45" hidden="false" customHeight="true" outlineLevel="0" collapsed="false">
      <c r="A195" s="10" t="s">
        <v>173</v>
      </c>
      <c r="B195" s="10" t="s">
        <v>32</v>
      </c>
      <c r="C195" s="15" t="s">
        <v>174</v>
      </c>
      <c r="D195" s="15" t="s">
        <v>175</v>
      </c>
      <c r="E195" s="15" t="s">
        <v>176</v>
      </c>
      <c r="F195" s="15" t="s">
        <v>177</v>
      </c>
    </row>
    <row r="196" customFormat="false" ht="13.8" hidden="false" customHeight="false" outlineLevel="0" collapsed="false">
      <c r="A196" s="19" t="n">
        <f aca="false">C16+C25+C32+C37+C45+C57+C63+C70+C76+C82+C107+C117+C123+C135+C142+C150+C159+C167+C174+C182+C187+C192</f>
        <v>4860.8481</v>
      </c>
      <c r="B196" s="19" t="n">
        <f aca="false">D16+D25+D37+D45+D57+D63+D70+D76+D82+D107+D117+D123+D135+D142+D150+D159+D167+D174+D182+D187+D192</f>
        <v>610.53</v>
      </c>
      <c r="C196" s="19" t="n">
        <f aca="false">E16+E25+E32+E37+E45+E57+E63+E70+E76+E82+E107+E117+E123+E135+E142+E150+E159+E167+E174+E182+E187+E192</f>
        <v>5356.693</v>
      </c>
      <c r="D196" s="19" t="n">
        <f aca="false">K139</f>
        <v>600.34</v>
      </c>
      <c r="E196" s="19" t="n">
        <f aca="false">K140</f>
        <v>20.3</v>
      </c>
      <c r="F196" s="19" t="n">
        <f aca="false">K141</f>
        <v>193.37</v>
      </c>
    </row>
  </sheetData>
  <mergeCells count="256">
    <mergeCell ref="A1:K1"/>
    <mergeCell ref="A2:E2"/>
    <mergeCell ref="A3:E3"/>
    <mergeCell ref="G3:K3"/>
    <mergeCell ref="A4:B4"/>
    <mergeCell ref="A5:B5"/>
    <mergeCell ref="G5:G13"/>
    <mergeCell ref="H5:H10"/>
    <mergeCell ref="A6:B6"/>
    <mergeCell ref="A7:B7"/>
    <mergeCell ref="A8:B8"/>
    <mergeCell ref="A9:B9"/>
    <mergeCell ref="A10:B10"/>
    <mergeCell ref="A11:B11"/>
    <mergeCell ref="H11:H13"/>
    <mergeCell ref="A12:B12"/>
    <mergeCell ref="A13:B13"/>
    <mergeCell ref="A14:B14"/>
    <mergeCell ref="G14:G19"/>
    <mergeCell ref="H14:H17"/>
    <mergeCell ref="A15:B15"/>
    <mergeCell ref="A16:B16"/>
    <mergeCell ref="A17:E17"/>
    <mergeCell ref="A18:E18"/>
    <mergeCell ref="H18:H19"/>
    <mergeCell ref="A19:B19"/>
    <mergeCell ref="A20:B20"/>
    <mergeCell ref="G20:G25"/>
    <mergeCell ref="H20:H22"/>
    <mergeCell ref="A21:B21"/>
    <mergeCell ref="A22:B22"/>
    <mergeCell ref="A23:B23"/>
    <mergeCell ref="H23:H25"/>
    <mergeCell ref="A24:B24"/>
    <mergeCell ref="A25:B25"/>
    <mergeCell ref="A26:E26"/>
    <mergeCell ref="G26:G31"/>
    <mergeCell ref="H26:H29"/>
    <mergeCell ref="A27:E27"/>
    <mergeCell ref="A28:B28"/>
    <mergeCell ref="A29:B29"/>
    <mergeCell ref="A30:B30"/>
    <mergeCell ref="H30:H31"/>
    <mergeCell ref="A31:B31"/>
    <mergeCell ref="A32:B32"/>
    <mergeCell ref="G32:G46"/>
    <mergeCell ref="H32:H38"/>
    <mergeCell ref="A33:E33"/>
    <mergeCell ref="A34:E34"/>
    <mergeCell ref="A35:B35"/>
    <mergeCell ref="A36:B36"/>
    <mergeCell ref="A37:B37"/>
    <mergeCell ref="A38:E38"/>
    <mergeCell ref="A39:E39"/>
    <mergeCell ref="H39:H43"/>
    <mergeCell ref="A40:B40"/>
    <mergeCell ref="A41:B41"/>
    <mergeCell ref="A42:B42"/>
    <mergeCell ref="A43:B43"/>
    <mergeCell ref="A44:B44"/>
    <mergeCell ref="H44:H46"/>
    <mergeCell ref="A45:B45"/>
    <mergeCell ref="A46:E46"/>
    <mergeCell ref="A47:E47"/>
    <mergeCell ref="G47:G53"/>
    <mergeCell ref="H47:H50"/>
    <mergeCell ref="A48:B48"/>
    <mergeCell ref="A49:B49"/>
    <mergeCell ref="A50:B50"/>
    <mergeCell ref="A51:B51"/>
    <mergeCell ref="H51:H53"/>
    <mergeCell ref="A52:B52"/>
    <mergeCell ref="A53:B53"/>
    <mergeCell ref="A54:B54"/>
    <mergeCell ref="G54:G60"/>
    <mergeCell ref="H54:H57"/>
    <mergeCell ref="A55:B55"/>
    <mergeCell ref="A56:B56"/>
    <mergeCell ref="A57:B57"/>
    <mergeCell ref="A58:E58"/>
    <mergeCell ref="H58:H60"/>
    <mergeCell ref="A59:E59"/>
    <mergeCell ref="A60:B60"/>
    <mergeCell ref="A61:B61"/>
    <mergeCell ref="G61:G64"/>
    <mergeCell ref="H61:H62"/>
    <mergeCell ref="A62:B62"/>
    <mergeCell ref="A63:B63"/>
    <mergeCell ref="H63:H64"/>
    <mergeCell ref="A64:E64"/>
    <mergeCell ref="A65:E65"/>
    <mergeCell ref="G65:G69"/>
    <mergeCell ref="H65:H67"/>
    <mergeCell ref="A66:B66"/>
    <mergeCell ref="A67:B67"/>
    <mergeCell ref="A68:B68"/>
    <mergeCell ref="H68:H69"/>
    <mergeCell ref="A69:B69"/>
    <mergeCell ref="A70:B70"/>
    <mergeCell ref="G70:G80"/>
    <mergeCell ref="H70:H77"/>
    <mergeCell ref="A71:E71"/>
    <mergeCell ref="A72:E72"/>
    <mergeCell ref="A73:B73"/>
    <mergeCell ref="A74:B74"/>
    <mergeCell ref="A75:B75"/>
    <mergeCell ref="A76:B76"/>
    <mergeCell ref="A77:E77"/>
    <mergeCell ref="A78:E78"/>
    <mergeCell ref="H78:H80"/>
    <mergeCell ref="A79:B79"/>
    <mergeCell ref="A80:B80"/>
    <mergeCell ref="A81:B81"/>
    <mergeCell ref="G81:G85"/>
    <mergeCell ref="H81:H83"/>
    <mergeCell ref="A82:B82"/>
    <mergeCell ref="A83:E83"/>
    <mergeCell ref="A84:E84"/>
    <mergeCell ref="H84:H85"/>
    <mergeCell ref="A85:B85"/>
    <mergeCell ref="A86:B86"/>
    <mergeCell ref="G86:G90"/>
    <mergeCell ref="H86:H88"/>
    <mergeCell ref="A87:B87"/>
    <mergeCell ref="A88:B88"/>
    <mergeCell ref="A89:B89"/>
    <mergeCell ref="H89:H90"/>
    <mergeCell ref="A90:B90"/>
    <mergeCell ref="A91:B91"/>
    <mergeCell ref="G91:G94"/>
    <mergeCell ref="H91:H92"/>
    <mergeCell ref="A92:B92"/>
    <mergeCell ref="A93:B93"/>
    <mergeCell ref="H93:H94"/>
    <mergeCell ref="A94:B94"/>
    <mergeCell ref="A95:B95"/>
    <mergeCell ref="G95:G99"/>
    <mergeCell ref="H95:H97"/>
    <mergeCell ref="A96:B96"/>
    <mergeCell ref="A97:B97"/>
    <mergeCell ref="A98:B98"/>
    <mergeCell ref="H98:H99"/>
    <mergeCell ref="A99:B99"/>
    <mergeCell ref="A100:B100"/>
    <mergeCell ref="G100:G106"/>
    <mergeCell ref="H100:H104"/>
    <mergeCell ref="A101:B101"/>
    <mergeCell ref="A102:B102"/>
    <mergeCell ref="A103:B103"/>
    <mergeCell ref="A104:B104"/>
    <mergeCell ref="A105:B105"/>
    <mergeCell ref="H105:H106"/>
    <mergeCell ref="A106:B106"/>
    <mergeCell ref="A107:B107"/>
    <mergeCell ref="G107:G112"/>
    <mergeCell ref="H107:H110"/>
    <mergeCell ref="A108:E108"/>
    <mergeCell ref="A109:E109"/>
    <mergeCell ref="A110:B110"/>
    <mergeCell ref="A111:B111"/>
    <mergeCell ref="H111:H112"/>
    <mergeCell ref="A112:B112"/>
    <mergeCell ref="A113:B113"/>
    <mergeCell ref="G113:G118"/>
    <mergeCell ref="H113:H116"/>
    <mergeCell ref="A114:B114"/>
    <mergeCell ref="A115:B115"/>
    <mergeCell ref="A116:B116"/>
    <mergeCell ref="A117:B117"/>
    <mergeCell ref="H117:H118"/>
    <mergeCell ref="A118:E118"/>
    <mergeCell ref="A119:E119"/>
    <mergeCell ref="G119:G125"/>
    <mergeCell ref="H119:H123"/>
    <mergeCell ref="A120:B120"/>
    <mergeCell ref="A121:B121"/>
    <mergeCell ref="A122:B122"/>
    <mergeCell ref="A123:B123"/>
    <mergeCell ref="A124:E124"/>
    <mergeCell ref="H124:H125"/>
    <mergeCell ref="A125:E125"/>
    <mergeCell ref="A126:B126"/>
    <mergeCell ref="G126:G137"/>
    <mergeCell ref="H126:H134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H135:H137"/>
    <mergeCell ref="A136:E136"/>
    <mergeCell ref="A137:E137"/>
    <mergeCell ref="A138:B138"/>
    <mergeCell ref="A139:B139"/>
    <mergeCell ref="G139:J139"/>
    <mergeCell ref="A140:B140"/>
    <mergeCell ref="G140:J140"/>
    <mergeCell ref="A141:B141"/>
    <mergeCell ref="G141:J141"/>
    <mergeCell ref="A142:B142"/>
    <mergeCell ref="A143:E143"/>
    <mergeCell ref="A144:E144"/>
    <mergeCell ref="A145:B145"/>
    <mergeCell ref="A146:B146"/>
    <mergeCell ref="A147:B147"/>
    <mergeCell ref="A148:B148"/>
    <mergeCell ref="A149:B149"/>
    <mergeCell ref="A150:B150"/>
    <mergeCell ref="A151:E151"/>
    <mergeCell ref="A152:E152"/>
    <mergeCell ref="A153:B153"/>
    <mergeCell ref="A154:B154"/>
    <mergeCell ref="A155:B155"/>
    <mergeCell ref="A156:B156"/>
    <mergeCell ref="A157:B157"/>
    <mergeCell ref="A158:B158"/>
    <mergeCell ref="A159:B159"/>
    <mergeCell ref="A160:E160"/>
    <mergeCell ref="A161:E161"/>
    <mergeCell ref="A162:B162"/>
    <mergeCell ref="A163:B163"/>
    <mergeCell ref="A164:B164"/>
    <mergeCell ref="A165:B165"/>
    <mergeCell ref="A166:B166"/>
    <mergeCell ref="A167:B167"/>
    <mergeCell ref="A168:E168"/>
    <mergeCell ref="A169:E169"/>
    <mergeCell ref="A170:B170"/>
    <mergeCell ref="A171:B171"/>
    <mergeCell ref="A172:B172"/>
    <mergeCell ref="A173:B173"/>
    <mergeCell ref="A174:B174"/>
    <mergeCell ref="A175:E175"/>
    <mergeCell ref="A176:E176"/>
    <mergeCell ref="A177:B177"/>
    <mergeCell ref="A178:B178"/>
    <mergeCell ref="A179:B179"/>
    <mergeCell ref="A180:B180"/>
    <mergeCell ref="A181:B181"/>
    <mergeCell ref="A182:B182"/>
    <mergeCell ref="A183:E183"/>
    <mergeCell ref="A184:E184"/>
    <mergeCell ref="A185:B185"/>
    <mergeCell ref="A186:B186"/>
    <mergeCell ref="A187:B187"/>
    <mergeCell ref="A188:E188"/>
    <mergeCell ref="A189:E189"/>
    <mergeCell ref="A190:B190"/>
    <mergeCell ref="A191:B191"/>
    <mergeCell ref="A192:B192"/>
    <mergeCell ref="A193:E193"/>
    <mergeCell ref="A194:F194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8.76"/>
    <col collapsed="false" customWidth="true" hidden="false" outlineLevel="0" max="2" min="2" style="0" width="14.03"/>
    <col collapsed="false" customWidth="true" hidden="false" outlineLevel="0" max="3" min="3" style="0" width="15.42"/>
    <col collapsed="false" customWidth="true" hidden="false" outlineLevel="0" max="4" min="4" style="0" width="14.31"/>
    <col collapsed="false" customWidth="true" hidden="false" outlineLevel="0" max="5" min="5" style="0" width="21.39"/>
    <col collapsed="false" customWidth="false" hidden="false" outlineLevel="0" max="1025" min="6" style="0" width="11.52"/>
  </cols>
  <sheetData>
    <row r="1" customFormat="false" ht="13.8" hidden="false" customHeight="true" outlineLevel="0" collapsed="false">
      <c r="A1" s="8" t="s">
        <v>525</v>
      </c>
      <c r="B1" s="8"/>
      <c r="C1" s="8"/>
      <c r="D1" s="8"/>
      <c r="E1" s="8"/>
    </row>
    <row r="3" customFormat="false" ht="15" hidden="false" customHeight="true" outlineLevel="0" collapsed="false">
      <c r="A3" s="184" t="s">
        <v>526</v>
      </c>
      <c r="B3" s="184"/>
      <c r="C3" s="184"/>
      <c r="D3" s="184"/>
      <c r="E3" s="184"/>
    </row>
    <row r="4" customFormat="false" ht="46.5" hidden="false" customHeight="false" outlineLevel="0" collapsed="false">
      <c r="A4" s="185" t="s">
        <v>527</v>
      </c>
      <c r="B4" s="185" t="s">
        <v>528</v>
      </c>
      <c r="C4" s="185" t="s">
        <v>529</v>
      </c>
      <c r="D4" s="185" t="s">
        <v>530</v>
      </c>
      <c r="E4" s="185" t="s">
        <v>531</v>
      </c>
    </row>
    <row r="5" customFormat="false" ht="19.5" hidden="false" customHeight="false" outlineLevel="0" collapsed="false">
      <c r="A5" s="186" t="s">
        <v>532</v>
      </c>
      <c r="B5" s="187" t="n">
        <f aca="false">'Custo da Área - R$-M² -CNP'!E13</f>
        <v>4.58541149209825</v>
      </c>
      <c r="C5" s="188" t="n">
        <f aca="false">SUM('Postos Necessários -CNP'!F4:F8)</f>
        <v>3191.54230769231</v>
      </c>
      <c r="D5" s="189" t="n">
        <f aca="false">B5*C5</f>
        <v>14634.5347752101</v>
      </c>
      <c r="E5" s="190" t="n">
        <f aca="false">D5*12</f>
        <v>175614.417302521</v>
      </c>
    </row>
    <row r="6" customFormat="false" ht="12.8" hidden="false" customHeight="false" outlineLevel="0" collapsed="false">
      <c r="A6" s="186" t="s">
        <v>533</v>
      </c>
      <c r="B6" s="187" t="n">
        <f aca="false">'Custo da Área - R$-M² -CNP'!E74</f>
        <v>22.2802315412714</v>
      </c>
      <c r="C6" s="188" t="n">
        <f aca="false">'Postos Necessários -CNP'!F9</f>
        <v>1221.06</v>
      </c>
      <c r="D6" s="189" t="n">
        <f aca="false">B6*C6</f>
        <v>27205.4995257849</v>
      </c>
      <c r="E6" s="190" t="n">
        <f aca="false">D6*12</f>
        <v>326465.994309418</v>
      </c>
    </row>
    <row r="7" customFormat="false" ht="28.5" hidden="false" customHeight="false" outlineLevel="0" collapsed="false">
      <c r="A7" s="186" t="s">
        <v>534</v>
      </c>
      <c r="B7" s="187" t="n">
        <f aca="false">'Custo da Área - R$-M² -CNP'!E59</f>
        <v>10.1898033157739</v>
      </c>
      <c r="C7" s="191" t="n">
        <f aca="false">SUM('Postos Necessários -CNP'!F10:F11)</f>
        <v>487.233738461539</v>
      </c>
      <c r="D7" s="189" t="n">
        <f aca="false">B7*C7</f>
        <v>4964.81596373229</v>
      </c>
      <c r="E7" s="190" t="n">
        <f aca="false">D7*12</f>
        <v>59577.7915647875</v>
      </c>
    </row>
    <row r="8" customFormat="false" ht="19.5" hidden="false" customHeight="false" outlineLevel="0" collapsed="false">
      <c r="A8" s="186" t="s">
        <v>535</v>
      </c>
      <c r="B8" s="187" t="n">
        <f aca="false">'Custo da Área - R$-M² -CNP'!E25</f>
        <v>2.29270574604912</v>
      </c>
      <c r="C8" s="188" t="n">
        <f aca="false">'Postos Necessários -CNP'!F12</f>
        <v>97.6092307692308</v>
      </c>
      <c r="D8" s="189" t="n">
        <f aca="false">B8*C8</f>
        <v>223.78924425205</v>
      </c>
      <c r="E8" s="190" t="n">
        <f aca="false">D8*12</f>
        <v>2685.47093102461</v>
      </c>
    </row>
    <row r="9" customFormat="false" ht="12.8" hidden="false" customHeight="false" outlineLevel="0" collapsed="false">
      <c r="A9" s="186" t="s">
        <v>536</v>
      </c>
      <c r="B9" s="187" t="n">
        <f aca="false">'Custo da Área - R$-M² -CNP'!E35</f>
        <v>2.54745082894347</v>
      </c>
      <c r="C9" s="188" t="n">
        <f aca="false">'Postos Necessários -CNP'!F13</f>
        <v>87.8969230769231</v>
      </c>
      <c r="D9" s="189" t="n">
        <f aca="false">B9*C9</f>
        <v>223.913089553888</v>
      </c>
      <c r="E9" s="190" t="n">
        <f aca="false">D9*12</f>
        <v>2686.95707464666</v>
      </c>
    </row>
    <row r="10" customFormat="false" ht="19.5" hidden="false" customHeight="false" outlineLevel="0" collapsed="false">
      <c r="A10" s="186" t="s">
        <v>537</v>
      </c>
      <c r="B10" s="187" t="n">
        <v>4.61</v>
      </c>
      <c r="C10" s="188" t="n">
        <f aca="false">'Postos Necessários -CNP'!F14</f>
        <v>197.016923076923</v>
      </c>
      <c r="D10" s="189" t="n">
        <f aca="false">B10*C10</f>
        <v>908.248015384616</v>
      </c>
      <c r="E10" s="190" t="n">
        <f aca="false">D10*12</f>
        <v>10898.9761846154</v>
      </c>
    </row>
    <row r="11" customFormat="false" ht="19.5" hidden="false" customHeight="false" outlineLevel="0" collapsed="false">
      <c r="A11" s="186" t="s">
        <v>538</v>
      </c>
      <c r="B11" s="187" t="n">
        <f aca="false">'Custo da Área - R$-M² -CNP'!E83</f>
        <v>1.69830055262898</v>
      </c>
      <c r="C11" s="188" t="n">
        <f aca="false">'Postos Necessários -CNP'!F15</f>
        <v>627.089692307692</v>
      </c>
      <c r="D11" s="189" t="n">
        <f aca="false">B11*C11</f>
        <v>1064.98677099409</v>
      </c>
      <c r="E11" s="190" t="n">
        <f aca="false">D11*12</f>
        <v>12779.8412519291</v>
      </c>
    </row>
    <row r="12" customFormat="false" ht="28.5" hidden="false" customHeight="false" outlineLevel="0" collapsed="false">
      <c r="A12" s="186" t="s">
        <v>539</v>
      </c>
      <c r="B12" s="187" t="n">
        <f aca="false">'Custo da Área - R$-M² -CNP'!H95</f>
        <v>1.02283300255368</v>
      </c>
      <c r="C12" s="191" t="n">
        <f aca="false">SUM('Postos Necessários -CNP'!F16:F17)</f>
        <v>247.341538461538</v>
      </c>
      <c r="D12" s="189" t="n">
        <f aca="false">B12*C12</f>
        <v>252.98908844086</v>
      </c>
      <c r="E12" s="190" t="n">
        <f aca="false">D12*12</f>
        <v>3035.86906129032</v>
      </c>
    </row>
    <row r="13" customFormat="false" ht="28.5" hidden="false" customHeight="false" outlineLevel="0" collapsed="false">
      <c r="A13" s="186" t="s">
        <v>540</v>
      </c>
      <c r="B13" s="187" t="n">
        <f aca="false">'Custo da Área - R$-M² -CNP'!H107</f>
        <v>1.21461419053249</v>
      </c>
      <c r="C13" s="188" t="n">
        <f aca="false">'Postos Necessários -CNP'!F18</f>
        <v>3.12307692307692</v>
      </c>
      <c r="D13" s="189" t="n">
        <f aca="false">B13*C13</f>
        <v>3.79333354889376</v>
      </c>
      <c r="E13" s="190" t="n">
        <f aca="false">D13*12</f>
        <v>45.5200025867252</v>
      </c>
    </row>
    <row r="14" customFormat="false" ht="15" hidden="false" customHeight="false" outlineLevel="0" collapsed="false">
      <c r="A14" s="192"/>
      <c r="B14" s="192"/>
      <c r="C14" s="193" t="n">
        <f aca="false">SUM(C5:C13)</f>
        <v>6159.91343076923</v>
      </c>
      <c r="D14" s="194" t="n">
        <f aca="false">SUM(D5:D13)</f>
        <v>49482.5698069016</v>
      </c>
      <c r="E14" s="195" t="n">
        <f aca="false">SUM(E5:E13)</f>
        <v>593790.83768282</v>
      </c>
    </row>
  </sheetData>
  <mergeCells count="2">
    <mergeCell ref="A1:E1"/>
    <mergeCell ref="A3:E3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F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25" width="40.85"/>
    <col collapsed="false" customWidth="true" hidden="false" outlineLevel="0" max="2" min="2" style="25" width="23.2"/>
    <col collapsed="false" customWidth="false" hidden="false" outlineLevel="0" max="3" min="3" style="25" width="11.53"/>
    <col collapsed="false" customWidth="true" hidden="false" outlineLevel="0" max="4" min="4" style="32" width="13.06"/>
    <col collapsed="false" customWidth="true" hidden="false" outlineLevel="0" max="5" min="5" style="33" width="11.25"/>
    <col collapsed="false" customWidth="true" hidden="false" outlineLevel="0" max="6" min="6" style="33" width="14.31"/>
    <col collapsed="false" customWidth="false" hidden="false" outlineLevel="0" max="1019" min="7" style="25" width="11.52"/>
    <col collapsed="false" customWidth="false" hidden="false" outlineLevel="0" max="1025" min="1020" style="0" width="11.52"/>
  </cols>
  <sheetData>
    <row r="1" customFormat="false" ht="13.8" hidden="false" customHeight="true" outlineLevel="0" collapsed="false">
      <c r="A1" s="34" t="s">
        <v>178</v>
      </c>
      <c r="B1" s="34"/>
      <c r="C1" s="34"/>
      <c r="D1" s="34"/>
      <c r="E1" s="34"/>
      <c r="F1" s="34"/>
      <c r="AMF1" s="25"/>
    </row>
    <row r="2" customFormat="false" ht="13.8" hidden="false" customHeight="false" outlineLevel="0" collapsed="false">
      <c r="A2" s="34"/>
      <c r="B2" s="34"/>
      <c r="C2" s="35"/>
      <c r="D2" s="36"/>
      <c r="E2" s="36"/>
      <c r="F2" s="36"/>
      <c r="AMF2" s="25"/>
    </row>
    <row r="3" customFormat="false" ht="85.05" hidden="false" customHeight="false" outlineLevel="0" collapsed="false">
      <c r="A3" s="12" t="s">
        <v>179</v>
      </c>
      <c r="B3" s="12" t="s">
        <v>180</v>
      </c>
      <c r="C3" s="37" t="s">
        <v>181</v>
      </c>
      <c r="D3" s="38" t="s">
        <v>182</v>
      </c>
      <c r="E3" s="38" t="s">
        <v>183</v>
      </c>
      <c r="F3" s="38" t="s">
        <v>184</v>
      </c>
      <c r="G3" s="37" t="s">
        <v>185</v>
      </c>
    </row>
    <row r="4" customFormat="false" ht="25.35" hidden="false" customHeight="true" outlineLevel="0" collapsed="false">
      <c r="A4" s="39" t="s">
        <v>186</v>
      </c>
      <c r="B4" s="40" t="s">
        <v>187</v>
      </c>
      <c r="C4" s="41" t="n">
        <v>8</v>
      </c>
      <c r="D4" s="42" t="n">
        <f aca="false">'Área - M² - CNP'!C41+'Área - M² - CNP'!C42+'Área - M² - CNP'!C49+'Área - M² - CNP'!C21</f>
        <v>419.42</v>
      </c>
      <c r="E4" s="42" t="n">
        <f aca="false">D4*C4</f>
        <v>3355.36</v>
      </c>
      <c r="F4" s="42" t="n">
        <f aca="false">E4/26</f>
        <v>129.052307692308</v>
      </c>
      <c r="G4" s="43" t="n">
        <f aca="false">F4/1000</f>
        <v>0.129052307692308</v>
      </c>
    </row>
    <row r="5" customFormat="false" ht="25.35" hidden="false" customHeight="false" outlineLevel="0" collapsed="false">
      <c r="A5" s="39"/>
      <c r="B5" s="40" t="s">
        <v>188</v>
      </c>
      <c r="C5" s="41" t="n">
        <v>52</v>
      </c>
      <c r="D5" s="42" t="n">
        <f aca="false">'Área - M² - CNP'!C146+'Área - M² - CNP'!C154+'Área - M² - CNP'!C163</f>
        <v>600.52</v>
      </c>
      <c r="E5" s="42" t="n">
        <f aca="false">D5*C5</f>
        <v>31227.04</v>
      </c>
      <c r="F5" s="42" t="n">
        <f aca="false">E5/26</f>
        <v>1201.04</v>
      </c>
      <c r="G5" s="43" t="n">
        <f aca="false">F5/1000</f>
        <v>1.20104</v>
      </c>
    </row>
    <row r="6" customFormat="false" ht="25.35" hidden="false" customHeight="false" outlineLevel="0" collapsed="false">
      <c r="A6" s="39"/>
      <c r="B6" s="40" t="s">
        <v>187</v>
      </c>
      <c r="C6" s="41" t="n">
        <v>26</v>
      </c>
      <c r="D6" s="42" t="n">
        <f aca="false">('Área - M² - CNP'!C16-'Área - M² - CNP'!C11-'Área - M² - CNP'!C13)+'Área - M² - CNP'!C32+('Área - M² - CNP'!C57-'Área - M² - CNP'!C49)+'Área - M² - CNP'!C68+'Área - M² - CNP'!C139+'Área - M² - CNP'!C155+'Área - M² - CNP'!C156</f>
        <v>916.88</v>
      </c>
      <c r="E6" s="42" t="n">
        <f aca="false">D6*C6</f>
        <v>23838.88</v>
      </c>
      <c r="F6" s="42" t="n">
        <f aca="false">E6/26</f>
        <v>916.88</v>
      </c>
      <c r="G6" s="43" t="n">
        <f aca="false">F6/1000</f>
        <v>0.91688</v>
      </c>
    </row>
    <row r="7" customFormat="false" ht="25.35" hidden="false" customHeight="false" outlineLevel="0" collapsed="false">
      <c r="A7" s="39"/>
      <c r="B7" s="40" t="s">
        <v>187</v>
      </c>
      <c r="C7" s="41" t="n">
        <v>26</v>
      </c>
      <c r="D7" s="42" t="n">
        <f aca="false">'Área - M² - CNP'!C114+'Área - M² - CNP'!C115+'Área - M² - CNP'!C13+'Área - M² - CNP'!C61+'Área - M² - CNP'!C171+'Área - M² - CNP'!C178+'Área - M² - CNP'!C186</f>
        <v>919.97</v>
      </c>
      <c r="E7" s="42" t="n">
        <f aca="false">D7*C7</f>
        <v>23919.22</v>
      </c>
      <c r="F7" s="42" t="n">
        <f aca="false">E7/26</f>
        <v>919.97</v>
      </c>
      <c r="G7" s="43" t="n">
        <f aca="false">F7/1000</f>
        <v>0.91997</v>
      </c>
    </row>
    <row r="8" customFormat="false" ht="25.35" hidden="false" customHeight="false" outlineLevel="0" collapsed="false">
      <c r="A8" s="39"/>
      <c r="B8" s="40" t="s">
        <v>187</v>
      </c>
      <c r="C8" s="41" t="n">
        <v>26</v>
      </c>
      <c r="D8" s="42" t="n">
        <f aca="false">'Área - M² - CNP'!C11</f>
        <v>24.6</v>
      </c>
      <c r="E8" s="42" t="n">
        <f aca="false">D8*C8</f>
        <v>639.6</v>
      </c>
      <c r="F8" s="42" t="n">
        <f aca="false">E8/26</f>
        <v>24.6</v>
      </c>
      <c r="G8" s="43" t="n">
        <f aca="false">F8/1000</f>
        <v>0.0246</v>
      </c>
    </row>
    <row r="9" customFormat="false" ht="25.35" hidden="false" customHeight="false" outlineLevel="0" collapsed="false">
      <c r="A9" s="39" t="s">
        <v>189</v>
      </c>
      <c r="B9" s="40" t="s">
        <v>190</v>
      </c>
      <c r="C9" s="41" t="n">
        <v>52</v>
      </c>
      <c r="D9" s="42" t="n">
        <f aca="false">'Área - M² - CNP'!B196</f>
        <v>610.53</v>
      </c>
      <c r="E9" s="42" t="n">
        <f aca="false">D9*C9</f>
        <v>31747.56</v>
      </c>
      <c r="F9" s="42" t="n">
        <f aca="false">E9/26</f>
        <v>1221.06</v>
      </c>
      <c r="G9" s="43" t="n">
        <f aca="false">F9/250</f>
        <v>4.88424</v>
      </c>
    </row>
    <row r="10" customFormat="false" ht="25.35" hidden="false" customHeight="true" outlineLevel="0" collapsed="false">
      <c r="A10" s="39" t="s">
        <v>191</v>
      </c>
      <c r="B10" s="20" t="s">
        <v>192</v>
      </c>
      <c r="C10" s="44" t="n">
        <v>12</v>
      </c>
      <c r="D10" s="45" t="n">
        <f aca="false">('Área - M² - CNP'!C107-'Área - M² - CNP'!C96)+'Área - M² - CNP'!C123+'Área - M² - CNP'!C128+'Área - M² - CNP'!C129+'Área - M² - CNP'!C131+'Área - M² - CNP'!C132+'Área - M² - CNP'!C133+'Área - M² - CNP'!C147+'Área - M² - CNP'!C164+'Área - M² - CNP'!C179</f>
        <v>1028.0481</v>
      </c>
      <c r="E10" s="42" t="n">
        <f aca="false">D10*C10</f>
        <v>12336.5772</v>
      </c>
      <c r="F10" s="42" t="n">
        <f aca="false">E10/26</f>
        <v>474.483738461538</v>
      </c>
      <c r="G10" s="43" t="n">
        <f aca="false">F10/450</f>
        <v>1.05440830769231</v>
      </c>
    </row>
    <row r="11" customFormat="false" ht="25.35" hidden="false" customHeight="false" outlineLevel="0" collapsed="false">
      <c r="A11" s="39"/>
      <c r="B11" s="40" t="s">
        <v>193</v>
      </c>
      <c r="C11" s="41" t="n">
        <v>26</v>
      </c>
      <c r="D11" s="42" t="n">
        <f aca="false">'Área - M² - CNP'!C20</f>
        <v>12.75</v>
      </c>
      <c r="E11" s="42" t="n">
        <f aca="false">D11*C11</f>
        <v>331.5</v>
      </c>
      <c r="F11" s="42" t="n">
        <f aca="false">E11/26</f>
        <v>12.75</v>
      </c>
      <c r="G11" s="43" t="n">
        <f aca="false">F11/450</f>
        <v>0.0283333333333333</v>
      </c>
    </row>
    <row r="12" customFormat="false" ht="37.3" hidden="false" customHeight="false" outlineLevel="0" collapsed="false">
      <c r="A12" s="39" t="s">
        <v>194</v>
      </c>
      <c r="B12" s="40" t="s">
        <v>195</v>
      </c>
      <c r="C12" s="41" t="n">
        <v>8</v>
      </c>
      <c r="D12" s="42" t="n">
        <f aca="false">'Área - M² - CNP'!C67+'Área - M² - CNP'!C112</f>
        <v>317.23</v>
      </c>
      <c r="E12" s="42" t="n">
        <f aca="false">D12*C12</f>
        <v>2537.84</v>
      </c>
      <c r="F12" s="42" t="n">
        <f aca="false">E12/26</f>
        <v>97.6092307692308</v>
      </c>
      <c r="G12" s="43" t="n">
        <f aca="false">F12/2000</f>
        <v>0.0488046153846154</v>
      </c>
    </row>
    <row r="13" customFormat="false" ht="42" hidden="false" customHeight="true" outlineLevel="0" collapsed="false">
      <c r="A13" s="39" t="s">
        <v>196</v>
      </c>
      <c r="B13" s="40" t="s">
        <v>197</v>
      </c>
      <c r="C13" s="41" t="n">
        <v>4</v>
      </c>
      <c r="D13" s="42" t="n">
        <f aca="false">'Área - M² - CNP'!C111+'Área - M² - CNP'!C113</f>
        <v>571.33</v>
      </c>
      <c r="E13" s="42" t="n">
        <f aca="false">D13*C13</f>
        <v>2285.32</v>
      </c>
      <c r="F13" s="42" t="n">
        <f aca="false">E13/26</f>
        <v>87.8969230769231</v>
      </c>
      <c r="G13" s="43" t="n">
        <f aca="false">F13/1800</f>
        <v>0.0488316239316239</v>
      </c>
    </row>
    <row r="14" customFormat="false" ht="49.25" hidden="false" customHeight="false" outlineLevel="0" collapsed="false">
      <c r="A14" s="46" t="s">
        <v>198</v>
      </c>
      <c r="B14" s="40" t="s">
        <v>199</v>
      </c>
      <c r="C14" s="41" t="n">
        <v>4</v>
      </c>
      <c r="D14" s="42" t="n">
        <f aca="false">'Área - M² - CNP'!E31+'Área - M² - CNP'!E36</f>
        <v>1280.61</v>
      </c>
      <c r="E14" s="42" t="n">
        <f aca="false">D14*C14</f>
        <v>5122.44</v>
      </c>
      <c r="F14" s="42" t="n">
        <f aca="false">E14/26</f>
        <v>197.016923076923</v>
      </c>
      <c r="G14" s="43" t="n">
        <f aca="false">F14/1500</f>
        <v>0.131344615384615</v>
      </c>
    </row>
    <row r="15" customFormat="false" ht="44.25" hidden="false" customHeight="true" outlineLevel="0" collapsed="false">
      <c r="A15" s="39" t="s">
        <v>200</v>
      </c>
      <c r="B15" s="40" t="s">
        <v>201</v>
      </c>
      <c r="C15" s="41" t="n">
        <v>4</v>
      </c>
      <c r="D15" s="47" t="n">
        <f aca="false">'Área - M² - CNP'!E15+'Área - M² - CNP'!E24+'Área - M² - CNP'!E44+'Área - M² - CNP'!E62+'Área - M² - CNP'!E75+'Área - M² - CNP'!E81+'Área - M² - CNP'!E106++'Área - M² - CNP'!E134+'Área - M² - CNP'!E141+'Área - M² - CNP'!E149+'Área - M² - CNP'!E158+'Área - M² - CNP'!E166+'Área - M² - CNP'!E173+'Área - M² - CNP'!E181+'Área - M² - CNP'!E191</f>
        <v>4076.083</v>
      </c>
      <c r="E15" s="42" t="n">
        <f aca="false">D15*C15</f>
        <v>16304.332</v>
      </c>
      <c r="F15" s="42" t="n">
        <f aca="false">E15/26</f>
        <v>627.089692307692</v>
      </c>
      <c r="G15" s="43" t="n">
        <f aca="false">F15/2700</f>
        <v>0.232255441595442</v>
      </c>
    </row>
    <row r="16" customFormat="false" ht="37.3" hidden="false" customHeight="true" outlineLevel="0" collapsed="false">
      <c r="A16" s="39" t="s">
        <v>202</v>
      </c>
      <c r="B16" s="40" t="s">
        <v>203</v>
      </c>
      <c r="C16" s="41" t="n">
        <v>4</v>
      </c>
      <c r="D16" s="42" t="n">
        <f aca="false">'Área - M² - CNP'!D196+'Área - M² - CNP'!E196+'Área - M² - CNP'!F196</f>
        <v>814.01</v>
      </c>
      <c r="E16" s="42" t="n">
        <f aca="false">D16*C16</f>
        <v>3256.04</v>
      </c>
      <c r="F16" s="42" t="n">
        <f aca="false">E16/26</f>
        <v>125.232307692308</v>
      </c>
      <c r="G16" s="43" t="n">
        <f aca="false">F16/380</f>
        <v>0.329558704453441</v>
      </c>
    </row>
    <row r="17" customFormat="false" ht="37.3" hidden="false" customHeight="false" outlineLevel="0" collapsed="false">
      <c r="A17" s="39"/>
      <c r="B17" s="40" t="s">
        <v>204</v>
      </c>
      <c r="C17" s="41" t="n">
        <v>4</v>
      </c>
      <c r="D17" s="42" t="n">
        <f aca="false">'Área - M² - CNP'!D196+'Área - M² - CNP'!F196</f>
        <v>793.71</v>
      </c>
      <c r="E17" s="42" t="n">
        <f aca="false">D17*C17</f>
        <v>3174.84</v>
      </c>
      <c r="F17" s="42" t="n">
        <f aca="false">E17/26</f>
        <v>122.109230769231</v>
      </c>
      <c r="G17" s="43" t="n">
        <f aca="false">F17/380</f>
        <v>0.32134008097166</v>
      </c>
    </row>
    <row r="18" customFormat="false" ht="37.3" hidden="false" customHeight="false" outlineLevel="0" collapsed="false">
      <c r="A18" s="39" t="s">
        <v>205</v>
      </c>
      <c r="B18" s="40" t="s">
        <v>206</v>
      </c>
      <c r="C18" s="41" t="n">
        <v>4</v>
      </c>
      <c r="D18" s="42" t="n">
        <f aca="false">'Área - M² - CNP'!E196</f>
        <v>20.3</v>
      </c>
      <c r="E18" s="42" t="n">
        <f aca="false">D18*C18</f>
        <v>81.2</v>
      </c>
      <c r="F18" s="42" t="n">
        <f aca="false">E18/26</f>
        <v>3.12307692307692</v>
      </c>
      <c r="G18" s="43" t="n">
        <f aca="false">F18/160</f>
        <v>0.0195192307692308</v>
      </c>
    </row>
    <row r="19" customFormat="false" ht="13.8" hidden="false" customHeight="true" outlineLevel="0" collapsed="false">
      <c r="A19" s="48" t="s">
        <v>25</v>
      </c>
      <c r="B19" s="48"/>
      <c r="C19" s="48"/>
      <c r="D19" s="49" t="n">
        <f aca="false">SUM(D4:D18)</f>
        <v>12405.9911</v>
      </c>
      <c r="E19" s="49" t="n">
        <f aca="false">SUM(E4:E18)</f>
        <v>160157.7492</v>
      </c>
      <c r="F19" s="49" t="n">
        <f aca="false">SUM(F4:F18)</f>
        <v>6159.91343076923</v>
      </c>
      <c r="G19" s="50" t="n">
        <f aca="false">SUM(G4:G18)</f>
        <v>10.2901782612086</v>
      </c>
    </row>
  </sheetData>
  <mergeCells count="5">
    <mergeCell ref="A1:F1"/>
    <mergeCell ref="A4:A8"/>
    <mergeCell ref="A10:A11"/>
    <mergeCell ref="A16:A17"/>
    <mergeCell ref="A19:C19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35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61.31"/>
    <col collapsed="false" customWidth="true" hidden="false" outlineLevel="0" max="3" min="3" style="0" width="17.13"/>
    <col collapsed="false" customWidth="true" hidden="false" outlineLevel="0" max="4" min="4" style="0" width="32.57"/>
    <col collapsed="false" customWidth="true" hidden="false" outlineLevel="0" max="1025" min="5" style="0" width="14.43"/>
  </cols>
  <sheetData>
    <row r="1" customFormat="false" ht="18" hidden="false" customHeight="false" outlineLevel="0" collapsed="false">
      <c r="A1" s="51" t="s">
        <v>207</v>
      </c>
      <c r="B1" s="51"/>
      <c r="C1" s="51"/>
      <c r="D1" s="51"/>
    </row>
    <row r="2" customFormat="false" ht="12.75" hidden="false" customHeight="true" outlineLevel="0" collapsed="false">
      <c r="A2" s="52" t="s">
        <v>208</v>
      </c>
      <c r="B2" s="52"/>
      <c r="C2" s="52"/>
      <c r="D2" s="52"/>
    </row>
    <row r="3" customFormat="false" ht="12.75" hidden="false" customHeight="true" outlineLevel="0" collapsed="false">
      <c r="A3" s="53"/>
      <c r="B3" s="53"/>
      <c r="C3" s="53"/>
      <c r="D3" s="53"/>
    </row>
    <row r="4" customFormat="false" ht="12.75" hidden="false" customHeight="true" outlineLevel="0" collapsed="false">
      <c r="A4" s="54" t="s">
        <v>209</v>
      </c>
      <c r="B4" s="54"/>
      <c r="C4" s="54"/>
      <c r="D4" s="54"/>
    </row>
    <row r="5" customFormat="false" ht="12.75" hidden="false" customHeight="true" outlineLevel="0" collapsed="false">
      <c r="A5" s="54" t="s">
        <v>210</v>
      </c>
      <c r="B5" s="54"/>
      <c r="C5" s="54"/>
      <c r="D5" s="54"/>
    </row>
    <row r="6" customFormat="false" ht="12.75" hidden="false" customHeight="true" outlineLevel="0" collapsed="false">
      <c r="A6" s="55"/>
      <c r="B6" s="55"/>
      <c r="C6" s="55"/>
      <c r="D6" s="55"/>
    </row>
    <row r="7" customFormat="false" ht="12.75" hidden="false" customHeight="true" outlineLevel="0" collapsed="false">
      <c r="A7" s="55"/>
      <c r="B7" s="55"/>
      <c r="C7" s="55"/>
      <c r="D7" s="55"/>
    </row>
    <row r="8" customFormat="false" ht="12.75" hidden="false" customHeight="true" outlineLevel="0" collapsed="false">
      <c r="A8" s="56"/>
      <c r="B8" s="56"/>
      <c r="C8" s="56"/>
      <c r="D8" s="56"/>
    </row>
    <row r="9" customFormat="false" ht="13.5" hidden="false" customHeight="true" outlineLevel="0" collapsed="false">
      <c r="A9" s="57" t="s">
        <v>211</v>
      </c>
      <c r="B9" s="57"/>
      <c r="C9" s="57"/>
      <c r="D9" s="57"/>
    </row>
    <row r="10" customFormat="false" ht="12.75" hidden="false" customHeight="true" outlineLevel="0" collapsed="false">
      <c r="A10" s="58" t="s">
        <v>212</v>
      </c>
      <c r="B10" s="58" t="s">
        <v>213</v>
      </c>
      <c r="C10" s="58"/>
      <c r="D10" s="58"/>
    </row>
    <row r="11" customFormat="false" ht="12.75" hidden="false" customHeight="true" outlineLevel="0" collapsed="false">
      <c r="A11" s="58" t="s">
        <v>214</v>
      </c>
      <c r="B11" s="58" t="s">
        <v>215</v>
      </c>
      <c r="C11" s="58"/>
      <c r="D11" s="58" t="s">
        <v>216</v>
      </c>
    </row>
    <row r="12" customFormat="false" ht="12.75" hidden="false" customHeight="true" outlineLevel="0" collapsed="false">
      <c r="A12" s="58" t="s">
        <v>217</v>
      </c>
      <c r="B12" s="58" t="s">
        <v>218</v>
      </c>
      <c r="C12" s="58"/>
      <c r="D12" s="58" t="s">
        <v>219</v>
      </c>
    </row>
    <row r="13" customFormat="false" ht="12.75" hidden="false" customHeight="true" outlineLevel="0" collapsed="false">
      <c r="A13" s="58" t="s">
        <v>220</v>
      </c>
      <c r="B13" s="58" t="s">
        <v>221</v>
      </c>
      <c r="C13" s="58"/>
      <c r="D13" s="58" t="n">
        <v>12</v>
      </c>
    </row>
    <row r="14" customFormat="false" ht="12.75" hidden="false" customHeight="true" outlineLevel="0" collapsed="false">
      <c r="A14" s="59"/>
      <c r="B14" s="59"/>
      <c r="C14" s="59"/>
      <c r="D14" s="59"/>
    </row>
    <row r="15" customFormat="false" ht="12.75" hidden="false" customHeight="true" outlineLevel="0" collapsed="false">
      <c r="A15" s="57" t="s">
        <v>222</v>
      </c>
      <c r="B15" s="57"/>
      <c r="C15" s="57"/>
      <c r="D15" s="57"/>
    </row>
    <row r="16" customFormat="false" ht="12.75" hidden="false" customHeight="true" outlineLevel="0" collapsed="false">
      <c r="A16" s="60" t="s">
        <v>223</v>
      </c>
      <c r="B16" s="60"/>
      <c r="C16" s="60"/>
      <c r="D16" s="60"/>
    </row>
    <row r="17" customFormat="false" ht="12.75" hidden="false" customHeight="true" outlineLevel="0" collapsed="false">
      <c r="A17" s="58" t="s">
        <v>224</v>
      </c>
      <c r="B17" s="58"/>
      <c r="C17" s="58"/>
      <c r="D17" s="58"/>
    </row>
    <row r="18" customFormat="false" ht="12.75" hidden="false" customHeight="true" outlineLevel="0" collapsed="false">
      <c r="A18" s="59"/>
      <c r="B18" s="59"/>
      <c r="C18" s="59"/>
      <c r="D18" s="59"/>
    </row>
    <row r="19" customFormat="false" ht="18" hidden="false" customHeight="false" outlineLevel="0" collapsed="false">
      <c r="A19" s="51" t="s">
        <v>225</v>
      </c>
      <c r="B19" s="51"/>
      <c r="C19" s="51"/>
      <c r="D19" s="51"/>
    </row>
    <row r="20" customFormat="false" ht="12.75" hidden="false" customHeight="false" outlineLevel="0" collapsed="false">
      <c r="A20" s="61" t="s">
        <v>226</v>
      </c>
      <c r="B20" s="61"/>
      <c r="C20" s="61"/>
      <c r="D20" s="61"/>
    </row>
    <row r="21" customFormat="false" ht="12.75" hidden="false" customHeight="true" outlineLevel="0" collapsed="false">
      <c r="A21" s="60" t="s">
        <v>227</v>
      </c>
      <c r="B21" s="60"/>
      <c r="C21" s="60"/>
      <c r="D21" s="60"/>
    </row>
    <row r="22" customFormat="false" ht="12.75" hidden="false" customHeight="true" outlineLevel="0" collapsed="false">
      <c r="A22" s="58" t="n">
        <v>1</v>
      </c>
      <c r="B22" s="62" t="s">
        <v>228</v>
      </c>
      <c r="C22" s="62"/>
      <c r="D22" s="62" t="str">
        <f aca="false">A17</f>
        <v>Limpeza e Conservação</v>
      </c>
    </row>
    <row r="23" customFormat="false" ht="12.75" hidden="false" customHeight="true" outlineLevel="0" collapsed="false">
      <c r="A23" s="58" t="n">
        <v>2</v>
      </c>
      <c r="B23" s="62" t="s">
        <v>229</v>
      </c>
      <c r="C23" s="62"/>
      <c r="D23" s="58" t="s">
        <v>230</v>
      </c>
    </row>
    <row r="24" customFormat="false" ht="12.75" hidden="false" customHeight="true" outlineLevel="0" collapsed="false">
      <c r="A24" s="58" t="n">
        <v>3</v>
      </c>
      <c r="B24" s="62" t="s">
        <v>231</v>
      </c>
      <c r="C24" s="62"/>
      <c r="D24" s="63" t="n">
        <v>1198.09</v>
      </c>
    </row>
    <row r="25" customFormat="false" ht="24.75" hidden="false" customHeight="true" outlineLevel="0" collapsed="false">
      <c r="A25" s="58" t="n">
        <v>4</v>
      </c>
      <c r="B25" s="62" t="s">
        <v>232</v>
      </c>
      <c r="C25" s="62"/>
      <c r="D25" s="58" t="str">
        <f aca="false">A2</f>
        <v>SERVENTE DE LIMPEZA  (44 HORAS de segunda a sábado)</v>
      </c>
    </row>
    <row r="26" customFormat="false" ht="12.75" hidden="false" customHeight="true" outlineLevel="0" collapsed="false">
      <c r="A26" s="58" t="n">
        <v>5</v>
      </c>
      <c r="B26" s="62" t="s">
        <v>233</v>
      </c>
      <c r="C26" s="62"/>
      <c r="D26" s="64" t="n">
        <v>44197</v>
      </c>
    </row>
    <row r="27" customFormat="false" ht="12.75" hidden="false" customHeight="true" outlineLevel="0" collapsed="false">
      <c r="A27" s="59"/>
      <c r="B27" s="59"/>
      <c r="C27" s="59"/>
      <c r="D27" s="59"/>
    </row>
    <row r="28" customFormat="false" ht="12.75" hidden="false" customHeight="true" outlineLevel="0" collapsed="false">
      <c r="A28" s="65" t="s">
        <v>234</v>
      </c>
      <c r="B28" s="65"/>
      <c r="C28" s="65"/>
      <c r="D28" s="65"/>
    </row>
    <row r="29" customFormat="false" ht="12.75" hidden="false" customHeight="true" outlineLevel="0" collapsed="false">
      <c r="A29" s="60" t="n">
        <v>1</v>
      </c>
      <c r="B29" s="60" t="s">
        <v>235</v>
      </c>
      <c r="C29" s="60"/>
      <c r="D29" s="60" t="s">
        <v>236</v>
      </c>
    </row>
    <row r="30" customFormat="false" ht="12.75" hidden="false" customHeight="true" outlineLevel="0" collapsed="false">
      <c r="A30" s="58" t="s">
        <v>212</v>
      </c>
      <c r="B30" s="62" t="s">
        <v>237</v>
      </c>
      <c r="C30" s="62"/>
      <c r="D30" s="66" t="n">
        <v>1198.09</v>
      </c>
    </row>
    <row r="31" customFormat="false" ht="12.75" hidden="false" customHeight="true" outlineLevel="0" collapsed="false">
      <c r="A31" s="58" t="s">
        <v>214</v>
      </c>
      <c r="B31" s="62" t="s">
        <v>238</v>
      </c>
      <c r="C31" s="62"/>
      <c r="D31" s="67" t="n">
        <v>0</v>
      </c>
    </row>
    <row r="32" customFormat="false" ht="18" hidden="false" customHeight="true" outlineLevel="0" collapsed="false">
      <c r="A32" s="58" t="s">
        <v>217</v>
      </c>
      <c r="B32" s="62" t="s">
        <v>239</v>
      </c>
      <c r="C32" s="62"/>
      <c r="D32" s="67" t="n">
        <v>0</v>
      </c>
    </row>
    <row r="33" customFormat="false" ht="36.75" hidden="false" customHeight="true" outlineLevel="0" collapsed="false">
      <c r="A33" s="58" t="s">
        <v>220</v>
      </c>
      <c r="B33" s="62" t="s">
        <v>240</v>
      </c>
      <c r="C33" s="62"/>
      <c r="D33" s="67" t="n">
        <v>0</v>
      </c>
    </row>
    <row r="34" customFormat="false" ht="24.75" hidden="false" customHeight="true" outlineLevel="0" collapsed="false">
      <c r="A34" s="58" t="s">
        <v>241</v>
      </c>
      <c r="B34" s="62" t="s">
        <v>242</v>
      </c>
      <c r="C34" s="62"/>
      <c r="D34" s="67" t="n">
        <v>0</v>
      </c>
    </row>
    <row r="35" customFormat="false" ht="32.25" hidden="false" customHeight="true" outlineLevel="0" collapsed="false">
      <c r="A35" s="58" t="s">
        <v>243</v>
      </c>
      <c r="B35" s="62" t="s">
        <v>244</v>
      </c>
      <c r="C35" s="62"/>
      <c r="D35" s="67" t="n">
        <v>0</v>
      </c>
    </row>
    <row r="36" customFormat="false" ht="26.25" hidden="false" customHeight="true" outlineLevel="0" collapsed="false">
      <c r="A36" s="58" t="s">
        <v>245</v>
      </c>
      <c r="B36" s="62" t="s">
        <v>246</v>
      </c>
      <c r="C36" s="62"/>
      <c r="D36" s="67" t="n">
        <v>0</v>
      </c>
    </row>
    <row r="37" customFormat="false" ht="12.75" hidden="false" customHeight="true" outlineLevel="0" collapsed="false">
      <c r="A37" s="58" t="s">
        <v>247</v>
      </c>
      <c r="B37" s="62" t="s">
        <v>248</v>
      </c>
      <c r="C37" s="62"/>
      <c r="D37" s="66" t="n">
        <v>46.16</v>
      </c>
    </row>
    <row r="38" customFormat="false" ht="12.75" hidden="false" customHeight="true" outlineLevel="0" collapsed="false">
      <c r="A38" s="58" t="s">
        <v>249</v>
      </c>
      <c r="B38" s="62" t="s">
        <v>250</v>
      </c>
      <c r="C38" s="62"/>
      <c r="D38" s="67" t="n">
        <v>0</v>
      </c>
    </row>
    <row r="39" customFormat="false" ht="12.75" hidden="false" customHeight="true" outlineLevel="0" collapsed="false">
      <c r="A39" s="68"/>
      <c r="B39" s="60" t="s">
        <v>251</v>
      </c>
      <c r="C39" s="60"/>
      <c r="D39" s="69" t="n">
        <f aca="false">SUM(D30:D38)</f>
        <v>1244.25</v>
      </c>
    </row>
    <row r="40" customFormat="false" ht="12.75" hidden="false" customHeight="true" outlineLevel="0" collapsed="false">
      <c r="A40" s="58" t="s">
        <v>252</v>
      </c>
      <c r="B40" s="58"/>
      <c r="C40" s="58"/>
      <c r="D40" s="58"/>
    </row>
    <row r="41" customFormat="false" ht="12.75" hidden="false" customHeight="true" outlineLevel="0" collapsed="false">
      <c r="A41" s="59"/>
      <c r="B41" s="59"/>
      <c r="C41" s="59"/>
      <c r="D41" s="59"/>
    </row>
    <row r="42" customFormat="false" ht="12.75" hidden="false" customHeight="true" outlineLevel="0" collapsed="false">
      <c r="A42" s="65" t="s">
        <v>253</v>
      </c>
      <c r="B42" s="65"/>
      <c r="C42" s="65"/>
      <c r="D42" s="65"/>
    </row>
    <row r="43" customFormat="false" ht="12.75" hidden="false" customHeight="true" outlineLevel="0" collapsed="false">
      <c r="A43" s="70" t="s">
        <v>254</v>
      </c>
      <c r="B43" s="70"/>
      <c r="C43" s="70"/>
      <c r="D43" s="70"/>
    </row>
    <row r="44" customFormat="false" ht="12.75" hidden="false" customHeight="true" outlineLevel="0" collapsed="false">
      <c r="A44" s="60" t="s">
        <v>255</v>
      </c>
      <c r="B44" s="60" t="s">
        <v>256</v>
      </c>
      <c r="C44" s="60"/>
      <c r="D44" s="60" t="s">
        <v>236</v>
      </c>
    </row>
    <row r="45" customFormat="false" ht="12.75" hidden="false" customHeight="true" outlineLevel="0" collapsed="false">
      <c r="A45" s="58" t="s">
        <v>212</v>
      </c>
      <c r="B45" s="71" t="s">
        <v>257</v>
      </c>
      <c r="C45" s="72" t="s">
        <v>258</v>
      </c>
      <c r="D45" s="67" t="n">
        <f aca="false">D39*0.0833</f>
        <v>103.646025</v>
      </c>
    </row>
    <row r="46" customFormat="false" ht="12.75" hidden="false" customHeight="true" outlineLevel="0" collapsed="false">
      <c r="A46" s="58" t="s">
        <v>214</v>
      </c>
      <c r="B46" s="71" t="s">
        <v>259</v>
      </c>
      <c r="C46" s="72" t="s">
        <v>258</v>
      </c>
      <c r="D46" s="67" t="n">
        <f aca="false">D39*0.0278</f>
        <v>34.59015</v>
      </c>
    </row>
    <row r="47" customFormat="false" ht="12.75" hidden="false" customHeight="true" outlineLevel="0" collapsed="false">
      <c r="A47" s="73" t="s">
        <v>260</v>
      </c>
      <c r="B47" s="73"/>
      <c r="C47" s="73"/>
      <c r="D47" s="74" t="n">
        <f aca="false">SUM(D45:D46)</f>
        <v>138.236175</v>
      </c>
    </row>
    <row r="48" s="79" customFormat="true" ht="24.75" hidden="false" customHeight="true" outlineLevel="0" collapsed="false">
      <c r="A48" s="75" t="s">
        <v>217</v>
      </c>
      <c r="B48" s="76" t="s">
        <v>261</v>
      </c>
      <c r="C48" s="77" t="s">
        <v>258</v>
      </c>
      <c r="D48" s="78" t="n">
        <f aca="false">(D45+D46)*C61</f>
        <v>55.01799765</v>
      </c>
    </row>
    <row r="49" customFormat="false" ht="12.75" hidden="false" customHeight="true" outlineLevel="0" collapsed="false">
      <c r="A49" s="60" t="s">
        <v>262</v>
      </c>
      <c r="B49" s="60"/>
      <c r="C49" s="60"/>
      <c r="D49" s="69" t="n">
        <f aca="false">D47+D48</f>
        <v>193.25417265</v>
      </c>
    </row>
    <row r="50" customFormat="false" ht="61.5" hidden="false" customHeight="true" outlineLevel="0" collapsed="false">
      <c r="A50" s="80" t="s">
        <v>263</v>
      </c>
      <c r="B50" s="80"/>
      <c r="C50" s="80"/>
      <c r="D50" s="80"/>
    </row>
    <row r="51" customFormat="false" ht="12.75" hidden="false" customHeight="true" outlineLevel="0" collapsed="false">
      <c r="A51" s="61" t="s">
        <v>264</v>
      </c>
      <c r="B51" s="61"/>
      <c r="C51" s="61"/>
      <c r="D51" s="61"/>
    </row>
    <row r="52" customFormat="false" ht="12.75" hidden="false" customHeight="true" outlineLevel="0" collapsed="false">
      <c r="A52" s="60" t="s">
        <v>265</v>
      </c>
      <c r="B52" s="81" t="s">
        <v>266</v>
      </c>
      <c r="C52" s="60" t="s">
        <v>267</v>
      </c>
      <c r="D52" s="60" t="s">
        <v>236</v>
      </c>
    </row>
    <row r="53" customFormat="false" ht="12.75" hidden="false" customHeight="true" outlineLevel="0" collapsed="false">
      <c r="A53" s="58" t="s">
        <v>212</v>
      </c>
      <c r="B53" s="71" t="s">
        <v>268</v>
      </c>
      <c r="C53" s="82" t="n">
        <v>0.2</v>
      </c>
      <c r="D53" s="67" t="n">
        <f aca="false">C53*$D$39</f>
        <v>248.85</v>
      </c>
    </row>
    <row r="54" customFormat="false" ht="12.75" hidden="false" customHeight="true" outlineLevel="0" collapsed="false">
      <c r="A54" s="58" t="s">
        <v>214</v>
      </c>
      <c r="B54" s="71" t="s">
        <v>269</v>
      </c>
      <c r="C54" s="82" t="n">
        <v>0.025</v>
      </c>
      <c r="D54" s="67" t="n">
        <f aca="false">C54*$D$39</f>
        <v>31.10625</v>
      </c>
    </row>
    <row r="55" s="79" customFormat="true" ht="12.75" hidden="false" customHeight="true" outlineLevel="0" collapsed="false">
      <c r="A55" s="75" t="s">
        <v>217</v>
      </c>
      <c r="B55" s="76" t="s">
        <v>270</v>
      </c>
      <c r="C55" s="83" t="n">
        <v>0.06</v>
      </c>
      <c r="D55" s="78" t="n">
        <f aca="false">C55*$D$39</f>
        <v>74.655</v>
      </c>
    </row>
    <row r="56" customFormat="false" ht="12.75" hidden="false" customHeight="true" outlineLevel="0" collapsed="false">
      <c r="A56" s="58" t="s">
        <v>220</v>
      </c>
      <c r="B56" s="71" t="s">
        <v>271</v>
      </c>
      <c r="C56" s="82" t="n">
        <v>0.015</v>
      </c>
      <c r="D56" s="67" t="n">
        <f aca="false">C56*$D$39</f>
        <v>18.66375</v>
      </c>
    </row>
    <row r="57" customFormat="false" ht="12.75" hidden="false" customHeight="true" outlineLevel="0" collapsed="false">
      <c r="A57" s="58" t="s">
        <v>241</v>
      </c>
      <c r="B57" s="71" t="s">
        <v>272</v>
      </c>
      <c r="C57" s="82" t="n">
        <v>0.01</v>
      </c>
      <c r="D57" s="67" t="n">
        <f aca="false">C57*$D$39</f>
        <v>12.4425</v>
      </c>
    </row>
    <row r="58" customFormat="false" ht="12.75" hidden="false" customHeight="true" outlineLevel="0" collapsed="false">
      <c r="A58" s="58" t="s">
        <v>243</v>
      </c>
      <c r="B58" s="71" t="s">
        <v>273</v>
      </c>
      <c r="C58" s="82" t="n">
        <v>0.006</v>
      </c>
      <c r="D58" s="67" t="n">
        <f aca="false">C58*$D$39</f>
        <v>7.4655</v>
      </c>
    </row>
    <row r="59" customFormat="false" ht="12.75" hidden="false" customHeight="true" outlineLevel="0" collapsed="false">
      <c r="A59" s="58" t="s">
        <v>245</v>
      </c>
      <c r="B59" s="71" t="s">
        <v>274</v>
      </c>
      <c r="C59" s="82" t="n">
        <v>0.002</v>
      </c>
      <c r="D59" s="67" t="n">
        <f aca="false">C59*$D$39</f>
        <v>2.4885</v>
      </c>
    </row>
    <row r="60" customFormat="false" ht="12.75" hidden="false" customHeight="true" outlineLevel="0" collapsed="false">
      <c r="A60" s="58" t="s">
        <v>247</v>
      </c>
      <c r="B60" s="71" t="s">
        <v>275</v>
      </c>
      <c r="C60" s="82" t="n">
        <v>0.08</v>
      </c>
      <c r="D60" s="67" t="n">
        <f aca="false">C60*$D$39</f>
        <v>99.54</v>
      </c>
    </row>
    <row r="61" customFormat="false" ht="12.75" hidden="false" customHeight="true" outlineLevel="0" collapsed="false">
      <c r="A61" s="68"/>
      <c r="B61" s="81" t="s">
        <v>276</v>
      </c>
      <c r="C61" s="84" t="n">
        <f aca="false">SUM(C53:C60)</f>
        <v>0.398</v>
      </c>
      <c r="D61" s="69" t="n">
        <f aca="false">SUM(D53:D60)</f>
        <v>495.2115</v>
      </c>
    </row>
    <row r="62" customFormat="false" ht="12.75" hidden="false" customHeight="true" outlineLevel="0" collapsed="false">
      <c r="A62" s="85"/>
      <c r="B62" s="85"/>
      <c r="C62" s="85"/>
      <c r="D62" s="85"/>
    </row>
    <row r="63" customFormat="false" ht="12.75" hidden="false" customHeight="true" outlineLevel="0" collapsed="false">
      <c r="A63" s="70" t="s">
        <v>277</v>
      </c>
      <c r="B63" s="70"/>
      <c r="C63" s="70"/>
      <c r="D63" s="70"/>
    </row>
    <row r="64" customFormat="false" ht="12.75" hidden="false" customHeight="true" outlineLevel="0" collapsed="false">
      <c r="A64" s="60" t="s">
        <v>278</v>
      </c>
      <c r="B64" s="60" t="s">
        <v>279</v>
      </c>
      <c r="C64" s="60"/>
      <c r="D64" s="60" t="s">
        <v>236</v>
      </c>
    </row>
    <row r="65" s="79" customFormat="true" ht="12.75" hidden="false" customHeight="true" outlineLevel="0" collapsed="false">
      <c r="A65" s="75" t="s">
        <v>212</v>
      </c>
      <c r="B65" s="86" t="s">
        <v>280</v>
      </c>
      <c r="C65" s="86"/>
      <c r="D65" s="87" t="n">
        <f aca="false">(6*2*25.22)-0.06*D30</f>
        <v>230.7546</v>
      </c>
    </row>
    <row r="66" customFormat="false" ht="16.5" hidden="false" customHeight="true" outlineLevel="0" collapsed="false">
      <c r="A66" s="58" t="s">
        <v>214</v>
      </c>
      <c r="B66" s="62" t="s">
        <v>281</v>
      </c>
      <c r="C66" s="62"/>
      <c r="D66" s="66" t="n">
        <f aca="false">(16*22)-(16*22)*0.05</f>
        <v>334.4</v>
      </c>
    </row>
    <row r="67" customFormat="false" ht="24" hidden="false" customHeight="true" outlineLevel="0" collapsed="false">
      <c r="A67" s="58" t="s">
        <v>217</v>
      </c>
      <c r="B67" s="62" t="s">
        <v>282</v>
      </c>
      <c r="C67" s="62"/>
      <c r="D67" s="66" t="n">
        <v>0</v>
      </c>
    </row>
    <row r="68" customFormat="false" ht="16.5" hidden="false" customHeight="true" outlineLevel="0" collapsed="false">
      <c r="A68" s="58" t="s">
        <v>220</v>
      </c>
      <c r="B68" s="62" t="s">
        <v>283</v>
      </c>
      <c r="C68" s="62"/>
      <c r="D68" s="66" t="n">
        <v>0</v>
      </c>
    </row>
    <row r="69" customFormat="false" ht="27" hidden="false" customHeight="true" outlineLevel="0" collapsed="false">
      <c r="A69" s="58" t="s">
        <v>241</v>
      </c>
      <c r="B69" s="62" t="s">
        <v>284</v>
      </c>
      <c r="C69" s="62"/>
      <c r="D69" s="66" t="n">
        <v>49</v>
      </c>
    </row>
    <row r="70" customFormat="false" ht="27" hidden="false" customHeight="true" outlineLevel="0" collapsed="false">
      <c r="A70" s="58" t="s">
        <v>243</v>
      </c>
      <c r="B70" s="62" t="s">
        <v>285</v>
      </c>
      <c r="C70" s="62"/>
      <c r="D70" s="66" t="n">
        <v>120</v>
      </c>
    </row>
    <row r="71" customFormat="false" ht="16.5" hidden="false" customHeight="true" outlineLevel="0" collapsed="false">
      <c r="A71" s="58" t="s">
        <v>245</v>
      </c>
      <c r="B71" s="62" t="s">
        <v>286</v>
      </c>
      <c r="C71" s="62"/>
      <c r="D71" s="67" t="n">
        <v>0</v>
      </c>
    </row>
    <row r="72" customFormat="false" ht="16.5" hidden="false" customHeight="true" outlineLevel="0" collapsed="false">
      <c r="A72" s="60" t="s">
        <v>287</v>
      </c>
      <c r="B72" s="60"/>
      <c r="C72" s="60"/>
      <c r="D72" s="69" t="n">
        <f aca="false">SUM(D65:D71)</f>
        <v>734.1546</v>
      </c>
    </row>
    <row r="73" customFormat="false" ht="39.75" hidden="false" customHeight="true" outlineLevel="0" collapsed="false">
      <c r="A73" s="80" t="s">
        <v>288</v>
      </c>
      <c r="B73" s="80"/>
      <c r="C73" s="80"/>
      <c r="D73" s="80"/>
    </row>
    <row r="74" customFormat="false" ht="16.5" hidden="false" customHeight="true" outlineLevel="0" collapsed="false">
      <c r="A74" s="70" t="s">
        <v>289</v>
      </c>
      <c r="B74" s="70"/>
      <c r="C74" s="70"/>
      <c r="D74" s="70"/>
    </row>
    <row r="75" customFormat="false" ht="12.75" hidden="false" customHeight="true" outlineLevel="0" collapsed="false">
      <c r="A75" s="60" t="n">
        <v>2</v>
      </c>
      <c r="B75" s="60" t="s">
        <v>290</v>
      </c>
      <c r="C75" s="60"/>
      <c r="D75" s="60" t="s">
        <v>236</v>
      </c>
    </row>
    <row r="76" customFormat="false" ht="12.75" hidden="false" customHeight="true" outlineLevel="0" collapsed="false">
      <c r="A76" s="58" t="s">
        <v>255</v>
      </c>
      <c r="B76" s="62" t="s">
        <v>256</v>
      </c>
      <c r="C76" s="62"/>
      <c r="D76" s="67" t="n">
        <f aca="false">D49</f>
        <v>193.25417265</v>
      </c>
    </row>
    <row r="77" customFormat="false" ht="16.5" hidden="false" customHeight="true" outlineLevel="0" collapsed="false">
      <c r="A77" s="58" t="s">
        <v>265</v>
      </c>
      <c r="B77" s="62" t="s">
        <v>266</v>
      </c>
      <c r="C77" s="62"/>
      <c r="D77" s="67" t="n">
        <f aca="false">D61</f>
        <v>495.2115</v>
      </c>
    </row>
    <row r="78" customFormat="false" ht="16.5" hidden="false" customHeight="true" outlineLevel="0" collapsed="false">
      <c r="A78" s="58" t="s">
        <v>278</v>
      </c>
      <c r="B78" s="62" t="s">
        <v>279</v>
      </c>
      <c r="C78" s="62"/>
      <c r="D78" s="67" t="n">
        <f aca="false">D72</f>
        <v>734.1546</v>
      </c>
    </row>
    <row r="79" customFormat="false" ht="16.5" hidden="false" customHeight="true" outlineLevel="0" collapsed="false">
      <c r="A79" s="60" t="s">
        <v>291</v>
      </c>
      <c r="B79" s="60"/>
      <c r="C79" s="60"/>
      <c r="D79" s="69" t="n">
        <f aca="false">SUM(D76:D78)</f>
        <v>1422.62027265</v>
      </c>
    </row>
    <row r="80" customFormat="false" ht="12.75" hidden="false" customHeight="true" outlineLevel="0" collapsed="false">
      <c r="A80" s="85"/>
      <c r="B80" s="85"/>
      <c r="C80" s="85"/>
      <c r="D80" s="85"/>
    </row>
    <row r="81" customFormat="false" ht="16.5" hidden="false" customHeight="true" outlineLevel="0" collapsed="false">
      <c r="A81" s="65" t="s">
        <v>292</v>
      </c>
      <c r="B81" s="65"/>
      <c r="C81" s="65"/>
      <c r="D81" s="65"/>
    </row>
    <row r="82" customFormat="false" ht="12.75" hidden="false" customHeight="true" outlineLevel="0" collapsed="false">
      <c r="A82" s="60" t="n">
        <v>3</v>
      </c>
      <c r="B82" s="60" t="s">
        <v>293</v>
      </c>
      <c r="C82" s="60"/>
      <c r="D82" s="60" t="s">
        <v>236</v>
      </c>
    </row>
    <row r="83" customFormat="false" ht="66.75" hidden="false" customHeight="true" outlineLevel="0" collapsed="false">
      <c r="A83" s="58" t="s">
        <v>212</v>
      </c>
      <c r="B83" s="62" t="s">
        <v>294</v>
      </c>
      <c r="C83" s="62"/>
      <c r="D83" s="67" t="n">
        <f aca="false">ROUND((($D$39/12)+($D$45/12)+($D$39/12/12)+($D$46/12))*(30/30)*0.05,2)</f>
        <v>6.19</v>
      </c>
    </row>
    <row r="84" customFormat="false" ht="26.25" hidden="false" customHeight="true" outlineLevel="0" collapsed="false">
      <c r="A84" s="58" t="s">
        <v>214</v>
      </c>
      <c r="B84" s="62" t="s">
        <v>295</v>
      </c>
      <c r="C84" s="62"/>
      <c r="D84" s="67" t="n">
        <f aca="false">(D83*C60)</f>
        <v>0.4952</v>
      </c>
    </row>
    <row r="85" customFormat="false" ht="12.75" hidden="false" customHeight="true" outlineLevel="0" collapsed="false">
      <c r="A85" s="58" t="s">
        <v>217</v>
      </c>
      <c r="B85" s="62" t="s">
        <v>296</v>
      </c>
      <c r="C85" s="72" t="s">
        <v>258</v>
      </c>
      <c r="D85" s="66" t="n">
        <f aca="false">ROUND(0.08*0.4*($D$39+$D$45+$D$46+$D$96)*0.05,2)</f>
        <v>2.41</v>
      </c>
    </row>
    <row r="86" customFormat="false" ht="26.25" hidden="false" customHeight="true" outlineLevel="0" collapsed="false">
      <c r="A86" s="58" t="s">
        <v>220</v>
      </c>
      <c r="B86" s="62" t="s">
        <v>297</v>
      </c>
      <c r="C86" s="62"/>
      <c r="D86" s="67" t="n">
        <f aca="false">D39*0.0194</f>
        <v>24.13845</v>
      </c>
    </row>
    <row r="87" customFormat="false" ht="30.75" hidden="false" customHeight="true" outlineLevel="0" collapsed="false">
      <c r="A87" s="58" t="s">
        <v>241</v>
      </c>
      <c r="B87" s="62" t="s">
        <v>298</v>
      </c>
      <c r="C87" s="62"/>
      <c r="D87" s="67" t="n">
        <f aca="false">D86*C61</f>
        <v>9.6071031</v>
      </c>
    </row>
    <row r="88" customFormat="false" ht="30.75" hidden="false" customHeight="true" outlineLevel="0" collapsed="false">
      <c r="A88" s="58" t="s">
        <v>243</v>
      </c>
      <c r="B88" s="62" t="s">
        <v>299</v>
      </c>
      <c r="C88" s="72" t="s">
        <v>258</v>
      </c>
      <c r="D88" s="67" t="n">
        <f aca="false">ROUND(0.08*0.4*($D$39+$D$45+$D$46+$D$96)*1,2)</f>
        <v>48.2</v>
      </c>
    </row>
    <row r="89" customFormat="false" ht="12.75" hidden="false" customHeight="true" outlineLevel="0" collapsed="false">
      <c r="A89" s="60" t="s">
        <v>300</v>
      </c>
      <c r="B89" s="60"/>
      <c r="C89" s="60"/>
      <c r="D89" s="69" t="n">
        <f aca="false">SUM(D83+D84+D85+D86+D87+D88)</f>
        <v>91.0407531</v>
      </c>
    </row>
    <row r="90" customFormat="false" ht="12.75" hidden="false" customHeight="true" outlineLevel="0" collapsed="false">
      <c r="A90" s="85"/>
      <c r="B90" s="85"/>
      <c r="C90" s="85"/>
      <c r="D90" s="85"/>
    </row>
    <row r="91" customFormat="false" ht="16.5" hidden="false" customHeight="true" outlineLevel="0" collapsed="false">
      <c r="A91" s="65" t="s">
        <v>301</v>
      </c>
      <c r="B91" s="65"/>
      <c r="C91" s="65"/>
      <c r="D91" s="65"/>
    </row>
    <row r="92" customFormat="false" ht="39.75" hidden="false" customHeight="true" outlineLevel="0" collapsed="false">
      <c r="A92" s="80" t="s">
        <v>302</v>
      </c>
      <c r="B92" s="80"/>
      <c r="C92" s="80"/>
      <c r="D92" s="80"/>
    </row>
    <row r="93" customFormat="false" ht="47.25" hidden="false" customHeight="true" outlineLevel="0" collapsed="false">
      <c r="A93" s="73" t="s">
        <v>303</v>
      </c>
      <c r="B93" s="73"/>
      <c r="C93" s="73"/>
      <c r="D93" s="88" t="n">
        <f aca="false">ROUND(D39/12,2)+D39+D45+D46</f>
        <v>1486.176175</v>
      </c>
    </row>
    <row r="94" customFormat="false" ht="12.75" hidden="false" customHeight="true" outlineLevel="0" collapsed="false">
      <c r="A94" s="61" t="s">
        <v>304</v>
      </c>
      <c r="B94" s="61"/>
      <c r="C94" s="61"/>
      <c r="D94" s="61"/>
    </row>
    <row r="95" customFormat="false" ht="12.75" hidden="false" customHeight="true" outlineLevel="0" collapsed="false">
      <c r="A95" s="60" t="s">
        <v>305</v>
      </c>
      <c r="B95" s="60" t="s">
        <v>306</v>
      </c>
      <c r="C95" s="60"/>
      <c r="D95" s="60" t="s">
        <v>236</v>
      </c>
    </row>
    <row r="96" customFormat="false" ht="12.75" hidden="false" customHeight="true" outlineLevel="0" collapsed="false">
      <c r="A96" s="58" t="s">
        <v>212</v>
      </c>
      <c r="B96" s="62" t="s">
        <v>307</v>
      </c>
      <c r="C96" s="62"/>
      <c r="D96" s="67" t="n">
        <f aca="false">D93*0.0833</f>
        <v>123.7984753775</v>
      </c>
    </row>
    <row r="97" customFormat="false" ht="16.5" hidden="false" customHeight="true" outlineLevel="0" collapsed="false">
      <c r="A97" s="58" t="s">
        <v>214</v>
      </c>
      <c r="B97" s="62" t="s">
        <v>308</v>
      </c>
      <c r="C97" s="62"/>
      <c r="D97" s="67" t="n">
        <f aca="false">($D$93/30/12)*1</f>
        <v>4.12826715277778</v>
      </c>
    </row>
    <row r="98" customFormat="false" ht="16.5" hidden="false" customHeight="true" outlineLevel="0" collapsed="false">
      <c r="A98" s="58" t="s">
        <v>217</v>
      </c>
      <c r="B98" s="62" t="s">
        <v>309</v>
      </c>
      <c r="C98" s="62"/>
      <c r="D98" s="67" t="n">
        <f aca="false">(($D$93/30/12)*5)*0.015</f>
        <v>0.309620036458333</v>
      </c>
    </row>
    <row r="99" customFormat="false" ht="16.5" hidden="false" customHeight="true" outlineLevel="0" collapsed="false">
      <c r="A99" s="58" t="s">
        <v>220</v>
      </c>
      <c r="B99" s="62" t="s">
        <v>310</v>
      </c>
      <c r="C99" s="62"/>
      <c r="D99" s="67" t="n">
        <f aca="false">(($D$93/30/12)*30)*0.08</f>
        <v>9.90784116666667</v>
      </c>
    </row>
    <row r="100" customFormat="false" ht="16.5" hidden="false" customHeight="true" outlineLevel="0" collapsed="false">
      <c r="A100" s="58" t="s">
        <v>241</v>
      </c>
      <c r="B100" s="62" t="s">
        <v>311</v>
      </c>
      <c r="C100" s="62"/>
      <c r="D100" s="67" t="n">
        <f aca="false">(($D$93/30/12)*5)*0.4</f>
        <v>8.25653430555556</v>
      </c>
    </row>
    <row r="101" customFormat="false" ht="24.75" hidden="false" customHeight="true" outlineLevel="0" collapsed="false">
      <c r="A101" s="58" t="s">
        <v>243</v>
      </c>
      <c r="B101" s="62" t="s">
        <v>312</v>
      </c>
      <c r="C101" s="62"/>
      <c r="D101" s="66" t="n">
        <f aca="false">(D96+D97+D98+D99+D100)*C61</f>
        <v>58.2674937395054</v>
      </c>
    </row>
    <row r="102" customFormat="false" ht="41.25" hidden="false" customHeight="true" outlineLevel="0" collapsed="false">
      <c r="A102" s="58" t="s">
        <v>245</v>
      </c>
      <c r="B102" s="62" t="s">
        <v>313</v>
      </c>
      <c r="C102" s="72" t="s">
        <v>258</v>
      </c>
      <c r="D102" s="67" t="n">
        <f aca="false">(((D39+(D39/3))*(4/12))/12)*0.02</f>
        <v>0.921666666666667</v>
      </c>
    </row>
    <row r="103" customFormat="false" ht="46.5" hidden="false" customHeight="true" outlineLevel="0" collapsed="false">
      <c r="A103" s="58" t="s">
        <v>247</v>
      </c>
      <c r="B103" s="62" t="s">
        <v>314</v>
      </c>
      <c r="C103" s="72" t="s">
        <v>258</v>
      </c>
      <c r="D103" s="67" t="n">
        <f aca="false">D102*C61</f>
        <v>0.366823333333333</v>
      </c>
    </row>
    <row r="104" customFormat="false" ht="39" hidden="false" customHeight="true" outlineLevel="0" collapsed="false">
      <c r="A104" s="58" t="s">
        <v>249</v>
      </c>
      <c r="B104" s="62" t="s">
        <v>315</v>
      </c>
      <c r="C104" s="72" t="s">
        <v>258</v>
      </c>
      <c r="D104" s="67" t="n">
        <f aca="false">(((D39+(D39/12))*(4/12))*0.02)*C61</f>
        <v>3.5765275</v>
      </c>
    </row>
    <row r="105" customFormat="false" ht="12.75" hidden="false" customHeight="true" outlineLevel="0" collapsed="false">
      <c r="A105" s="60" t="s">
        <v>316</v>
      </c>
      <c r="B105" s="60"/>
      <c r="C105" s="60"/>
      <c r="D105" s="69" t="n">
        <f aca="false">SUM(D96:D104)</f>
        <v>209.533249278464</v>
      </c>
    </row>
    <row r="106" customFormat="false" ht="12.75" hidden="false" customHeight="true" outlineLevel="0" collapsed="false">
      <c r="A106" s="85"/>
      <c r="B106" s="85"/>
      <c r="C106" s="85"/>
      <c r="D106" s="85"/>
    </row>
    <row r="107" customFormat="false" ht="16.5" hidden="false" customHeight="true" outlineLevel="0" collapsed="false">
      <c r="A107" s="70" t="s">
        <v>317</v>
      </c>
      <c r="B107" s="70"/>
      <c r="C107" s="70"/>
      <c r="D107" s="70"/>
    </row>
    <row r="108" customFormat="false" ht="12.75" hidden="false" customHeight="true" outlineLevel="0" collapsed="false">
      <c r="A108" s="60" t="s">
        <v>318</v>
      </c>
      <c r="B108" s="60" t="s">
        <v>319</v>
      </c>
      <c r="C108" s="60"/>
      <c r="D108" s="60" t="s">
        <v>236</v>
      </c>
    </row>
    <row r="109" customFormat="false" ht="12.75" hidden="false" customHeight="true" outlineLevel="0" collapsed="false">
      <c r="A109" s="58" t="s">
        <v>212</v>
      </c>
      <c r="B109" s="62" t="s">
        <v>320</v>
      </c>
      <c r="C109" s="62"/>
      <c r="D109" s="67" t="n">
        <v>0</v>
      </c>
    </row>
    <row r="110" customFormat="false" ht="12.75" hidden="false" customHeight="true" outlineLevel="0" collapsed="false">
      <c r="A110" s="60" t="s">
        <v>321</v>
      </c>
      <c r="B110" s="60"/>
      <c r="C110" s="60"/>
      <c r="D110" s="69" t="n">
        <f aca="false">SUM(D109)</f>
        <v>0</v>
      </c>
    </row>
    <row r="111" customFormat="false" ht="12.75" hidden="false" customHeight="true" outlineLevel="0" collapsed="false">
      <c r="A111" s="85"/>
      <c r="B111" s="85"/>
      <c r="C111" s="85"/>
      <c r="D111" s="85"/>
    </row>
    <row r="112" customFormat="false" ht="15.75" hidden="false" customHeight="true" outlineLevel="0" collapsed="false">
      <c r="A112" s="70" t="s">
        <v>322</v>
      </c>
      <c r="B112" s="70"/>
      <c r="C112" s="70"/>
      <c r="D112" s="70"/>
    </row>
    <row r="113" customFormat="false" ht="12.75" hidden="false" customHeight="true" outlineLevel="0" collapsed="false">
      <c r="A113" s="60" t="n">
        <v>4</v>
      </c>
      <c r="B113" s="60" t="s">
        <v>290</v>
      </c>
      <c r="C113" s="60"/>
      <c r="D113" s="60" t="s">
        <v>236</v>
      </c>
    </row>
    <row r="114" customFormat="false" ht="12.75" hidden="false" customHeight="true" outlineLevel="0" collapsed="false">
      <c r="A114" s="58" t="s">
        <v>305</v>
      </c>
      <c r="B114" s="62" t="s">
        <v>323</v>
      </c>
      <c r="C114" s="62"/>
      <c r="D114" s="67" t="n">
        <f aca="false">D105</f>
        <v>209.533249278464</v>
      </c>
    </row>
    <row r="115" customFormat="false" ht="16.5" hidden="false" customHeight="true" outlineLevel="0" collapsed="false">
      <c r="A115" s="58" t="s">
        <v>318</v>
      </c>
      <c r="B115" s="62" t="s">
        <v>319</v>
      </c>
      <c r="C115" s="62"/>
      <c r="D115" s="67" t="n">
        <f aca="false">D110</f>
        <v>0</v>
      </c>
    </row>
    <row r="116" customFormat="false" ht="16.5" hidden="false" customHeight="true" outlineLevel="0" collapsed="false">
      <c r="A116" s="60" t="s">
        <v>291</v>
      </c>
      <c r="B116" s="60"/>
      <c r="C116" s="60"/>
      <c r="D116" s="69" t="n">
        <f aca="false">D114+D115</f>
        <v>209.533249278464</v>
      </c>
    </row>
    <row r="117" customFormat="false" ht="12.75" hidden="false" customHeight="true" outlineLevel="0" collapsed="false">
      <c r="A117" s="85"/>
      <c r="B117" s="85"/>
      <c r="C117" s="85"/>
      <c r="D117" s="85"/>
    </row>
    <row r="118" customFormat="false" ht="16.5" hidden="false" customHeight="true" outlineLevel="0" collapsed="false">
      <c r="A118" s="65" t="s">
        <v>324</v>
      </c>
      <c r="B118" s="65"/>
      <c r="C118" s="65"/>
      <c r="D118" s="65"/>
    </row>
    <row r="119" customFormat="false" ht="12.75" hidden="false" customHeight="true" outlineLevel="0" collapsed="false">
      <c r="A119" s="60" t="n">
        <v>5</v>
      </c>
      <c r="B119" s="60" t="s">
        <v>325</v>
      </c>
      <c r="C119" s="60"/>
      <c r="D119" s="60" t="s">
        <v>236</v>
      </c>
    </row>
    <row r="120" customFormat="false" ht="43.5" hidden="false" customHeight="true" outlineLevel="0" collapsed="false">
      <c r="A120" s="58" t="s">
        <v>212</v>
      </c>
      <c r="B120" s="89" t="s">
        <v>326</v>
      </c>
      <c r="C120" s="89"/>
      <c r="D120" s="67" t="n">
        <f aca="false">'EPI e uniformes'!F11</f>
        <v>11.7095456892355</v>
      </c>
    </row>
    <row r="121" customFormat="false" ht="38.25" hidden="false" customHeight="true" outlineLevel="0" collapsed="false">
      <c r="A121" s="58" t="s">
        <v>214</v>
      </c>
      <c r="B121" s="89" t="s">
        <v>327</v>
      </c>
      <c r="C121" s="89"/>
      <c r="D121" s="67" t="n">
        <f aca="false">'EPI e uniformes'!F22</f>
        <v>25.4607105289572</v>
      </c>
    </row>
    <row r="122" customFormat="false" ht="38.25" hidden="false" customHeight="true" outlineLevel="0" collapsed="false">
      <c r="A122" s="58" t="s">
        <v>217</v>
      </c>
      <c r="B122" s="89" t="s">
        <v>328</v>
      </c>
      <c r="C122" s="89"/>
      <c r="D122" s="67" t="n">
        <f aca="false">materiais!G51</f>
        <v>325.870367018581</v>
      </c>
    </row>
    <row r="123" customFormat="false" ht="40.5" hidden="false" customHeight="true" outlineLevel="0" collapsed="false">
      <c r="A123" s="58" t="s">
        <v>220</v>
      </c>
      <c r="B123" s="89" t="s">
        <v>329</v>
      </c>
      <c r="C123" s="89"/>
      <c r="D123" s="67" t="n">
        <f aca="false">equipamentos!I13</f>
        <v>12.6125491359813</v>
      </c>
    </row>
    <row r="124" customFormat="false" ht="16.5" hidden="false" customHeight="true" outlineLevel="0" collapsed="false">
      <c r="A124" s="58" t="s">
        <v>241</v>
      </c>
      <c r="B124" s="89" t="s">
        <v>330</v>
      </c>
      <c r="C124" s="89"/>
      <c r="D124" s="66" t="n">
        <v>0</v>
      </c>
    </row>
    <row r="125" customFormat="false" ht="16.5" hidden="false" customHeight="true" outlineLevel="0" collapsed="false">
      <c r="A125" s="60" t="s">
        <v>331</v>
      </c>
      <c r="B125" s="60"/>
      <c r="C125" s="60"/>
      <c r="D125" s="69" t="n">
        <f aca="false">SUM(D120:D124)</f>
        <v>375.653172372755</v>
      </c>
    </row>
    <row r="126" customFormat="false" ht="12.75" hidden="false" customHeight="true" outlineLevel="0" collapsed="false">
      <c r="A126" s="85"/>
      <c r="B126" s="85"/>
      <c r="C126" s="85"/>
      <c r="D126" s="85"/>
    </row>
    <row r="127" customFormat="false" ht="16.5" hidden="false" customHeight="true" outlineLevel="0" collapsed="false">
      <c r="A127" s="65" t="s">
        <v>332</v>
      </c>
      <c r="B127" s="65"/>
      <c r="C127" s="65"/>
      <c r="D127" s="65"/>
    </row>
    <row r="128" customFormat="false" ht="12.75" hidden="false" customHeight="true" outlineLevel="0" collapsed="false">
      <c r="A128" s="60" t="n">
        <v>6</v>
      </c>
      <c r="B128" s="81" t="s">
        <v>333</v>
      </c>
      <c r="C128" s="60" t="s">
        <v>334</v>
      </c>
      <c r="D128" s="72" t="s">
        <v>236</v>
      </c>
    </row>
    <row r="129" customFormat="false" ht="12.75" hidden="false" customHeight="true" outlineLevel="0" collapsed="false">
      <c r="A129" s="58" t="s">
        <v>212</v>
      </c>
      <c r="B129" s="71" t="s">
        <v>335</v>
      </c>
      <c r="C129" s="90" t="n">
        <v>0.05</v>
      </c>
      <c r="D129" s="67" t="n">
        <f aca="false">D150*C129</f>
        <v>167.154872370061</v>
      </c>
    </row>
    <row r="130" customFormat="false" ht="44.25" hidden="false" customHeight="true" outlineLevel="0" collapsed="false">
      <c r="A130" s="58" t="s">
        <v>336</v>
      </c>
      <c r="B130" s="58"/>
      <c r="C130" s="58"/>
      <c r="D130" s="58"/>
    </row>
    <row r="131" customFormat="false" ht="12.75" hidden="false" customHeight="true" outlineLevel="0" collapsed="false">
      <c r="A131" s="58" t="s">
        <v>214</v>
      </c>
      <c r="B131" s="71" t="s">
        <v>337</v>
      </c>
      <c r="C131" s="90" t="n">
        <v>0.08</v>
      </c>
      <c r="D131" s="67" t="n">
        <f aca="false">(D150+D129)*C131</f>
        <v>280.820185581702</v>
      </c>
    </row>
    <row r="132" customFormat="false" ht="42.75" hidden="false" customHeight="true" outlineLevel="0" collapsed="false">
      <c r="A132" s="58" t="s">
        <v>338</v>
      </c>
      <c r="B132" s="58"/>
      <c r="C132" s="58"/>
      <c r="D132" s="58"/>
    </row>
    <row r="133" customFormat="false" ht="12.75" hidden="false" customHeight="true" outlineLevel="0" collapsed="false">
      <c r="A133" s="58" t="s">
        <v>217</v>
      </c>
      <c r="B133" s="71" t="s">
        <v>339</v>
      </c>
      <c r="C133" s="82"/>
      <c r="D133" s="58"/>
    </row>
    <row r="134" customFormat="false" ht="41.25" hidden="false" customHeight="true" outlineLevel="0" collapsed="false">
      <c r="A134" s="58" t="s">
        <v>340</v>
      </c>
      <c r="B134" s="58"/>
      <c r="C134" s="58"/>
      <c r="D134" s="58"/>
    </row>
    <row r="135" customFormat="false" ht="12.75" hidden="false" customHeight="true" outlineLevel="0" collapsed="false">
      <c r="A135" s="58"/>
      <c r="B135" s="71" t="s">
        <v>341</v>
      </c>
      <c r="C135" s="82"/>
      <c r="D135" s="58"/>
    </row>
    <row r="136" customFormat="false" ht="12.75" hidden="false" customHeight="true" outlineLevel="0" collapsed="false">
      <c r="A136" s="58"/>
      <c r="B136" s="71" t="s">
        <v>342</v>
      </c>
      <c r="C136" s="82" t="n">
        <v>0.0165</v>
      </c>
      <c r="D136" s="67" t="n">
        <f aca="false">($D$129+$D$131+$D$150)/(1-($C$136+$C$137+$C$139))*C136</f>
        <v>72.947750831865</v>
      </c>
    </row>
    <row r="137" customFormat="false" ht="12.75" hidden="false" customHeight="true" outlineLevel="0" collapsed="false">
      <c r="A137" s="58"/>
      <c r="B137" s="71" t="s">
        <v>343</v>
      </c>
      <c r="C137" s="82" t="n">
        <v>0.076</v>
      </c>
      <c r="D137" s="67" t="n">
        <f aca="false">($D$129+$D$131+$D$150)/(1-($C$136+$C$137+$C$139))*C137</f>
        <v>336.001761407378</v>
      </c>
    </row>
    <row r="138" customFormat="false" ht="12.75" hidden="false" customHeight="true" outlineLevel="0" collapsed="false">
      <c r="A138" s="58"/>
      <c r="B138" s="71" t="s">
        <v>344</v>
      </c>
      <c r="C138" s="82"/>
      <c r="D138" s="58"/>
    </row>
    <row r="139" customFormat="false" ht="12.75" hidden="false" customHeight="true" outlineLevel="0" collapsed="false">
      <c r="A139" s="58"/>
      <c r="B139" s="71" t="s">
        <v>345</v>
      </c>
      <c r="C139" s="82" t="n">
        <v>0.05</v>
      </c>
      <c r="D139" s="67" t="n">
        <f aca="false">($D$129+$D$131+$D$150)/(1-($C$136+$C$137+$C$139))*C139</f>
        <v>221.053790399591</v>
      </c>
    </row>
    <row r="140" customFormat="false" ht="12.75" hidden="false" customHeight="true" outlineLevel="0" collapsed="false">
      <c r="A140" s="58"/>
      <c r="B140" s="71" t="s">
        <v>346</v>
      </c>
      <c r="C140" s="82"/>
      <c r="D140" s="82"/>
    </row>
    <row r="141" customFormat="false" ht="12.75" hidden="false" customHeight="true" outlineLevel="0" collapsed="false">
      <c r="A141" s="60" t="s">
        <v>347</v>
      </c>
      <c r="B141" s="60"/>
      <c r="C141" s="60"/>
      <c r="D141" s="91" t="n">
        <f aca="false">SUM(D129:D139)</f>
        <v>1077.9783605906</v>
      </c>
    </row>
    <row r="142" customFormat="false" ht="26.25" hidden="false" customHeight="true" outlineLevel="0" collapsed="false">
      <c r="A142" s="80" t="s">
        <v>348</v>
      </c>
      <c r="B142" s="80"/>
      <c r="C142" s="80"/>
      <c r="D142" s="80"/>
    </row>
    <row r="143" customFormat="false" ht="12.75" hidden="false" customHeight="true" outlineLevel="0" collapsed="false">
      <c r="A143" s="61" t="s">
        <v>349</v>
      </c>
      <c r="B143" s="61"/>
      <c r="C143" s="61"/>
      <c r="D143" s="61"/>
    </row>
    <row r="144" customFormat="false" ht="12.75" hidden="false" customHeight="true" outlineLevel="0" collapsed="false">
      <c r="A144" s="92"/>
      <c r="B144" s="60" t="s">
        <v>350</v>
      </c>
      <c r="C144" s="60"/>
      <c r="D144" s="68" t="s">
        <v>351</v>
      </c>
    </row>
    <row r="145" customFormat="false" ht="12.75" hidden="false" customHeight="true" outlineLevel="0" collapsed="false">
      <c r="A145" s="58" t="s">
        <v>212</v>
      </c>
      <c r="B145" s="62" t="s">
        <v>352</v>
      </c>
      <c r="C145" s="62"/>
      <c r="D145" s="67" t="n">
        <f aca="false">D39</f>
        <v>1244.25</v>
      </c>
    </row>
    <row r="146" customFormat="false" ht="12.75" hidden="false" customHeight="true" outlineLevel="0" collapsed="false">
      <c r="A146" s="58" t="s">
        <v>214</v>
      </c>
      <c r="B146" s="62" t="s">
        <v>353</v>
      </c>
      <c r="C146" s="62"/>
      <c r="D146" s="67" t="n">
        <f aca="false">D79</f>
        <v>1422.62027265</v>
      </c>
    </row>
    <row r="147" customFormat="false" ht="26.25" hidden="false" customHeight="true" outlineLevel="0" collapsed="false">
      <c r="A147" s="58" t="s">
        <v>217</v>
      </c>
      <c r="B147" s="62" t="s">
        <v>354</v>
      </c>
      <c r="C147" s="62"/>
      <c r="D147" s="67" t="n">
        <f aca="false">D89</f>
        <v>91.0407531</v>
      </c>
    </row>
    <row r="148" customFormat="false" ht="16.5" hidden="false" customHeight="true" outlineLevel="0" collapsed="false">
      <c r="A148" s="58" t="s">
        <v>220</v>
      </c>
      <c r="B148" s="62" t="s">
        <v>355</v>
      </c>
      <c r="C148" s="62"/>
      <c r="D148" s="67" t="n">
        <f aca="false">D116</f>
        <v>209.533249278464</v>
      </c>
    </row>
    <row r="149" customFormat="false" ht="16.5" hidden="false" customHeight="true" outlineLevel="0" collapsed="false">
      <c r="A149" s="58" t="s">
        <v>241</v>
      </c>
      <c r="B149" s="62" t="s">
        <v>356</v>
      </c>
      <c r="C149" s="62"/>
      <c r="D149" s="67" t="n">
        <f aca="false">D125</f>
        <v>375.653172372755</v>
      </c>
    </row>
    <row r="150" customFormat="false" ht="16.5" hidden="false" customHeight="true" outlineLevel="0" collapsed="false">
      <c r="A150" s="73" t="s">
        <v>357</v>
      </c>
      <c r="B150" s="73"/>
      <c r="C150" s="73"/>
      <c r="D150" s="74" t="n">
        <f aca="false">SUM(D145:D149)</f>
        <v>3343.09744740122</v>
      </c>
    </row>
    <row r="151" customFormat="false" ht="16.5" hidden="false" customHeight="true" outlineLevel="0" collapsed="false">
      <c r="A151" s="58" t="s">
        <v>243</v>
      </c>
      <c r="B151" s="62" t="s">
        <v>358</v>
      </c>
      <c r="C151" s="62"/>
      <c r="D151" s="67" t="n">
        <f aca="false">D141</f>
        <v>1077.9783605906</v>
      </c>
    </row>
    <row r="152" customFormat="false" ht="16.5" hidden="false" customHeight="true" outlineLevel="0" collapsed="false">
      <c r="A152" s="58" t="s">
        <v>245</v>
      </c>
      <c r="B152" s="62" t="s">
        <v>330</v>
      </c>
      <c r="C152" s="62"/>
      <c r="D152" s="67" t="n">
        <v>0</v>
      </c>
    </row>
    <row r="153" customFormat="false" ht="16.5" hidden="false" customHeight="true" outlineLevel="0" collapsed="false">
      <c r="A153" s="93" t="s">
        <v>359</v>
      </c>
      <c r="B153" s="93"/>
      <c r="C153" s="93"/>
      <c r="D153" s="94" t="n">
        <f aca="false">SUM(D151+D150+D152)</f>
        <v>4421.07580799182</v>
      </c>
    </row>
    <row r="1048576" customFormat="false" ht="12.8" hidden="false" customHeight="false" outlineLevel="0" collapsed="false"/>
  </sheetData>
  <mergeCells count="127">
    <mergeCell ref="A1:D1"/>
    <mergeCell ref="A2:D2"/>
    <mergeCell ref="A3:D3"/>
    <mergeCell ref="A4:D4"/>
    <mergeCell ref="A5:D5"/>
    <mergeCell ref="A6:D7"/>
    <mergeCell ref="A8:D8"/>
    <mergeCell ref="A9:D9"/>
    <mergeCell ref="B10:C10"/>
    <mergeCell ref="B11:C11"/>
    <mergeCell ref="B12:C12"/>
    <mergeCell ref="B13:C13"/>
    <mergeCell ref="A14:D14"/>
    <mergeCell ref="A15:D15"/>
    <mergeCell ref="A16:D16"/>
    <mergeCell ref="A17:D17"/>
    <mergeCell ref="A18:D18"/>
    <mergeCell ref="A19:D19"/>
    <mergeCell ref="A20:D20"/>
    <mergeCell ref="A21:D21"/>
    <mergeCell ref="B22:C22"/>
    <mergeCell ref="B23:C23"/>
    <mergeCell ref="B24:C24"/>
    <mergeCell ref="B25:C25"/>
    <mergeCell ref="B26:C26"/>
    <mergeCell ref="A27:D27"/>
    <mergeCell ref="A28:D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0:D40"/>
    <mergeCell ref="A41:D41"/>
    <mergeCell ref="A42:D42"/>
    <mergeCell ref="A43:D43"/>
    <mergeCell ref="B44:C44"/>
    <mergeCell ref="A47:C47"/>
    <mergeCell ref="A49:C49"/>
    <mergeCell ref="A50:D50"/>
    <mergeCell ref="A51:D51"/>
    <mergeCell ref="A62:D62"/>
    <mergeCell ref="A63:D63"/>
    <mergeCell ref="B64:C64"/>
    <mergeCell ref="B65:C65"/>
    <mergeCell ref="B66:C66"/>
    <mergeCell ref="B67:C67"/>
    <mergeCell ref="B68:C68"/>
    <mergeCell ref="B69:C69"/>
    <mergeCell ref="B70:C70"/>
    <mergeCell ref="B71:C71"/>
    <mergeCell ref="A72:C72"/>
    <mergeCell ref="A73:D73"/>
    <mergeCell ref="A74:D74"/>
    <mergeCell ref="B75:C75"/>
    <mergeCell ref="B76:C76"/>
    <mergeCell ref="B77:C77"/>
    <mergeCell ref="B78:C78"/>
    <mergeCell ref="A79:C79"/>
    <mergeCell ref="A80:D80"/>
    <mergeCell ref="A81:D81"/>
    <mergeCell ref="B82:C82"/>
    <mergeCell ref="B83:C83"/>
    <mergeCell ref="B84:C84"/>
    <mergeCell ref="B86:C86"/>
    <mergeCell ref="B87:C87"/>
    <mergeCell ref="A89:C89"/>
    <mergeCell ref="A90:D90"/>
    <mergeCell ref="A91:D91"/>
    <mergeCell ref="A92:D92"/>
    <mergeCell ref="A93:C93"/>
    <mergeCell ref="A94:D94"/>
    <mergeCell ref="B95:C95"/>
    <mergeCell ref="B96:C96"/>
    <mergeCell ref="B97:C97"/>
    <mergeCell ref="B98:C98"/>
    <mergeCell ref="B99:C99"/>
    <mergeCell ref="B100:C100"/>
    <mergeCell ref="B101:C101"/>
    <mergeCell ref="A105:C105"/>
    <mergeCell ref="A106:D106"/>
    <mergeCell ref="A107:D107"/>
    <mergeCell ref="B108:C108"/>
    <mergeCell ref="B109:C109"/>
    <mergeCell ref="A110:C110"/>
    <mergeCell ref="A111:D111"/>
    <mergeCell ref="A112:D112"/>
    <mergeCell ref="B113:C113"/>
    <mergeCell ref="B114:C114"/>
    <mergeCell ref="B115:C115"/>
    <mergeCell ref="A116:C116"/>
    <mergeCell ref="A117:D117"/>
    <mergeCell ref="A118:D118"/>
    <mergeCell ref="B119:C119"/>
    <mergeCell ref="B120:C120"/>
    <mergeCell ref="B121:C121"/>
    <mergeCell ref="B122:C122"/>
    <mergeCell ref="B123:C123"/>
    <mergeCell ref="B124:C124"/>
    <mergeCell ref="A125:C125"/>
    <mergeCell ref="A126:D126"/>
    <mergeCell ref="A127:D127"/>
    <mergeCell ref="A130:D130"/>
    <mergeCell ref="A132:D132"/>
    <mergeCell ref="A134:D134"/>
    <mergeCell ref="A135:A140"/>
    <mergeCell ref="C139:C140"/>
    <mergeCell ref="D139:D140"/>
    <mergeCell ref="A141:C141"/>
    <mergeCell ref="A142:D142"/>
    <mergeCell ref="A143:D143"/>
    <mergeCell ref="B144:C144"/>
    <mergeCell ref="B145:C145"/>
    <mergeCell ref="B146:C146"/>
    <mergeCell ref="B147:C147"/>
    <mergeCell ref="B148:C148"/>
    <mergeCell ref="B149:C149"/>
    <mergeCell ref="A150:C150"/>
    <mergeCell ref="B151:C151"/>
    <mergeCell ref="B152:C152"/>
    <mergeCell ref="A153:C153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false"/>
  </sheetPr>
  <dimension ref="A1:D154"/>
  <sheetViews>
    <sheetView showFormulas="false" showGridLines="true" showRowColHeaders="true" showZeros="true" rightToLeft="false" tabSelected="false" showOutlineSymbols="true" defaultGridColor="true" view="normal" topLeftCell="A15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61.31"/>
    <col collapsed="false" customWidth="true" hidden="false" outlineLevel="0" max="3" min="3" style="0" width="14.57"/>
    <col collapsed="false" customWidth="true" hidden="false" outlineLevel="0" max="4" min="4" style="0" width="34.13"/>
    <col collapsed="false" customWidth="true" hidden="false" outlineLevel="0" max="1025" min="5" style="0" width="14.43"/>
  </cols>
  <sheetData>
    <row r="1" customFormat="false" ht="18" hidden="false" customHeight="false" outlineLevel="0" collapsed="false">
      <c r="A1" s="51" t="s">
        <v>207</v>
      </c>
      <c r="B1" s="51"/>
      <c r="C1" s="51"/>
      <c r="D1" s="51"/>
    </row>
    <row r="2" customFormat="false" ht="12.75" hidden="false" customHeight="true" outlineLevel="0" collapsed="false">
      <c r="A2" s="52" t="s">
        <v>360</v>
      </c>
      <c r="B2" s="52"/>
      <c r="C2" s="52"/>
      <c r="D2" s="52"/>
    </row>
    <row r="3" customFormat="false" ht="12.75" hidden="false" customHeight="true" outlineLevel="0" collapsed="false">
      <c r="A3" s="95" t="s">
        <v>361</v>
      </c>
      <c r="B3" s="95"/>
      <c r="C3" s="95"/>
      <c r="D3" s="95"/>
    </row>
    <row r="4" customFormat="false" ht="12.75" hidden="false" customHeight="true" outlineLevel="0" collapsed="false">
      <c r="A4" s="53"/>
      <c r="B4" s="53"/>
      <c r="C4" s="53"/>
      <c r="D4" s="53"/>
    </row>
    <row r="5" customFormat="false" ht="12.75" hidden="false" customHeight="true" outlineLevel="0" collapsed="false">
      <c r="A5" s="54" t="s">
        <v>362</v>
      </c>
      <c r="B5" s="54"/>
      <c r="C5" s="54"/>
      <c r="D5" s="54"/>
    </row>
    <row r="6" customFormat="false" ht="12.75" hidden="false" customHeight="true" outlineLevel="0" collapsed="false">
      <c r="A6" s="54" t="s">
        <v>363</v>
      </c>
      <c r="B6" s="54"/>
      <c r="C6" s="54"/>
      <c r="D6" s="54"/>
    </row>
    <row r="7" customFormat="false" ht="12.75" hidden="false" customHeight="true" outlineLevel="0" collapsed="false">
      <c r="A7" s="55" t="s">
        <v>364</v>
      </c>
      <c r="B7" s="55"/>
      <c r="C7" s="55"/>
      <c r="D7" s="55"/>
    </row>
    <row r="8" customFormat="false" ht="12.75" hidden="false" customHeight="true" outlineLevel="0" collapsed="false">
      <c r="A8" s="55"/>
      <c r="B8" s="55"/>
      <c r="C8" s="55"/>
      <c r="D8" s="55"/>
    </row>
    <row r="9" customFormat="false" ht="12.75" hidden="false" customHeight="true" outlineLevel="0" collapsed="false">
      <c r="A9" s="56"/>
      <c r="B9" s="56"/>
      <c r="C9" s="56"/>
      <c r="D9" s="56"/>
    </row>
    <row r="10" customFormat="false" ht="13.5" hidden="false" customHeight="true" outlineLevel="0" collapsed="false">
      <c r="A10" s="57" t="s">
        <v>211</v>
      </c>
      <c r="B10" s="57"/>
      <c r="C10" s="57"/>
      <c r="D10" s="57"/>
    </row>
    <row r="11" customFormat="false" ht="12.75" hidden="false" customHeight="true" outlineLevel="0" collapsed="false">
      <c r="A11" s="58" t="s">
        <v>212</v>
      </c>
      <c r="B11" s="58" t="s">
        <v>213</v>
      </c>
      <c r="C11" s="58"/>
      <c r="D11" s="58"/>
    </row>
    <row r="12" customFormat="false" ht="12.75" hidden="false" customHeight="true" outlineLevel="0" collapsed="false">
      <c r="A12" s="58" t="s">
        <v>214</v>
      </c>
      <c r="B12" s="58" t="s">
        <v>215</v>
      </c>
      <c r="C12" s="58"/>
      <c r="D12" s="58" t="s">
        <v>216</v>
      </c>
    </row>
    <row r="13" customFormat="false" ht="12.75" hidden="false" customHeight="true" outlineLevel="0" collapsed="false">
      <c r="A13" s="58" t="s">
        <v>217</v>
      </c>
      <c r="B13" s="58" t="s">
        <v>218</v>
      </c>
      <c r="C13" s="58"/>
      <c r="D13" s="58" t="s">
        <v>219</v>
      </c>
    </row>
    <row r="14" customFormat="false" ht="12.75" hidden="false" customHeight="true" outlineLevel="0" collapsed="false">
      <c r="A14" s="58" t="s">
        <v>220</v>
      </c>
      <c r="B14" s="58" t="s">
        <v>365</v>
      </c>
      <c r="C14" s="58"/>
      <c r="D14" s="58" t="n">
        <v>12</v>
      </c>
    </row>
    <row r="15" customFormat="false" ht="12.75" hidden="false" customHeight="true" outlineLevel="0" collapsed="false">
      <c r="A15" s="59"/>
      <c r="B15" s="59"/>
      <c r="C15" s="59"/>
      <c r="D15" s="59"/>
    </row>
    <row r="16" customFormat="false" ht="12.75" hidden="false" customHeight="true" outlineLevel="0" collapsed="false">
      <c r="A16" s="61" t="s">
        <v>222</v>
      </c>
      <c r="B16" s="61"/>
      <c r="C16" s="61"/>
      <c r="D16" s="61"/>
    </row>
    <row r="17" customFormat="false" ht="12.75" hidden="false" customHeight="true" outlineLevel="0" collapsed="false">
      <c r="A17" s="60" t="s">
        <v>223</v>
      </c>
      <c r="B17" s="60"/>
      <c r="C17" s="60"/>
      <c r="D17" s="60"/>
    </row>
    <row r="18" customFormat="false" ht="12.75" hidden="false" customHeight="true" outlineLevel="0" collapsed="false">
      <c r="A18" s="58" t="s">
        <v>224</v>
      </c>
      <c r="B18" s="58"/>
      <c r="C18" s="58"/>
      <c r="D18" s="58"/>
    </row>
    <row r="19" customFormat="false" ht="12.75" hidden="false" customHeight="true" outlineLevel="0" collapsed="false">
      <c r="A19" s="59"/>
      <c r="B19" s="59"/>
      <c r="C19" s="59"/>
      <c r="D19" s="59"/>
    </row>
    <row r="20" customFormat="false" ht="12.75" hidden="false" customHeight="true" outlineLevel="0" collapsed="false">
      <c r="A20" s="51" t="s">
        <v>225</v>
      </c>
      <c r="B20" s="51"/>
      <c r="C20" s="51"/>
      <c r="D20" s="51"/>
    </row>
    <row r="21" customFormat="false" ht="12.75" hidden="false" customHeight="true" outlineLevel="0" collapsed="false">
      <c r="A21" s="61" t="s">
        <v>226</v>
      </c>
      <c r="B21" s="61"/>
      <c r="C21" s="61"/>
      <c r="D21" s="61"/>
    </row>
    <row r="22" customFormat="false" ht="15.75" hidden="false" customHeight="true" outlineLevel="0" collapsed="false">
      <c r="A22" s="60" t="s">
        <v>227</v>
      </c>
      <c r="B22" s="60"/>
      <c r="C22" s="60"/>
      <c r="D22" s="60"/>
    </row>
    <row r="23" customFormat="false" ht="23.25" hidden="false" customHeight="true" outlineLevel="0" collapsed="false">
      <c r="A23" s="58" t="n">
        <v>1</v>
      </c>
      <c r="B23" s="62" t="s">
        <v>228</v>
      </c>
      <c r="C23" s="62"/>
      <c r="D23" s="58" t="str">
        <f aca="false">A18</f>
        <v>Limpeza e Conservação</v>
      </c>
    </row>
    <row r="24" customFormat="false" ht="12.75" hidden="false" customHeight="true" outlineLevel="0" collapsed="false">
      <c r="A24" s="58" t="n">
        <v>2</v>
      </c>
      <c r="B24" s="62" t="s">
        <v>229</v>
      </c>
      <c r="C24" s="62"/>
      <c r="D24" s="58" t="s">
        <v>230</v>
      </c>
    </row>
    <row r="25" customFormat="false" ht="12.75" hidden="false" customHeight="true" outlineLevel="0" collapsed="false">
      <c r="A25" s="58" t="n">
        <v>2</v>
      </c>
      <c r="B25" s="62" t="s">
        <v>231</v>
      </c>
      <c r="C25" s="62"/>
      <c r="D25" s="63" t="n">
        <v>1198.09</v>
      </c>
    </row>
    <row r="26" customFormat="false" ht="38.25" hidden="false" customHeight="true" outlineLevel="0" collapsed="false">
      <c r="A26" s="58" t="n">
        <v>3</v>
      </c>
      <c r="B26" s="62" t="s">
        <v>232</v>
      </c>
      <c r="C26" s="62"/>
      <c r="D26" s="58" t="str">
        <f aca="false">A2</f>
        <v>SERVENTE DE LIMPEZA  (44 HORAS de segunda a sábado) INSALUBRIDADE</v>
      </c>
    </row>
    <row r="27" customFormat="false" ht="12.75" hidden="false" customHeight="true" outlineLevel="0" collapsed="false">
      <c r="A27" s="58" t="n">
        <v>4</v>
      </c>
      <c r="B27" s="62" t="s">
        <v>233</v>
      </c>
      <c r="C27" s="62"/>
      <c r="D27" s="64" t="n">
        <v>44197</v>
      </c>
    </row>
    <row r="28" customFormat="false" ht="12.75" hidden="false" customHeight="true" outlineLevel="0" collapsed="false">
      <c r="A28" s="59"/>
      <c r="B28" s="59"/>
      <c r="C28" s="59"/>
      <c r="D28" s="59"/>
    </row>
    <row r="29" customFormat="false" ht="12.75" hidden="false" customHeight="true" outlineLevel="0" collapsed="false">
      <c r="A29" s="65" t="s">
        <v>234</v>
      </c>
      <c r="B29" s="65"/>
      <c r="C29" s="65"/>
      <c r="D29" s="65"/>
    </row>
    <row r="30" customFormat="false" ht="12.75" hidden="false" customHeight="true" outlineLevel="0" collapsed="false">
      <c r="A30" s="60" t="n">
        <v>1</v>
      </c>
      <c r="B30" s="60" t="s">
        <v>235</v>
      </c>
      <c r="C30" s="60"/>
      <c r="D30" s="60" t="s">
        <v>236</v>
      </c>
    </row>
    <row r="31" customFormat="false" ht="12.75" hidden="false" customHeight="true" outlineLevel="0" collapsed="false">
      <c r="A31" s="58" t="s">
        <v>212</v>
      </c>
      <c r="B31" s="62" t="s">
        <v>237</v>
      </c>
      <c r="C31" s="62"/>
      <c r="D31" s="66" t="n">
        <v>1198.09</v>
      </c>
    </row>
    <row r="32" customFormat="false" ht="12.75" hidden="false" customHeight="true" outlineLevel="0" collapsed="false">
      <c r="A32" s="58" t="s">
        <v>214</v>
      </c>
      <c r="B32" s="62" t="s">
        <v>238</v>
      </c>
      <c r="C32" s="62"/>
      <c r="D32" s="67" t="n">
        <v>0</v>
      </c>
    </row>
    <row r="33" customFormat="false" ht="18" hidden="false" customHeight="true" outlineLevel="0" collapsed="false">
      <c r="A33" s="58" t="s">
        <v>217</v>
      </c>
      <c r="B33" s="62" t="s">
        <v>366</v>
      </c>
      <c r="C33" s="62"/>
      <c r="D33" s="67" t="n">
        <f aca="false">1100*40%</f>
        <v>440</v>
      </c>
    </row>
    <row r="34" customFormat="false" ht="36.75" hidden="false" customHeight="true" outlineLevel="0" collapsed="false">
      <c r="A34" s="58" t="s">
        <v>220</v>
      </c>
      <c r="B34" s="62" t="s">
        <v>240</v>
      </c>
      <c r="C34" s="62"/>
      <c r="D34" s="67" t="n">
        <v>0</v>
      </c>
    </row>
    <row r="35" customFormat="false" ht="24.75" hidden="false" customHeight="true" outlineLevel="0" collapsed="false">
      <c r="A35" s="58" t="s">
        <v>241</v>
      </c>
      <c r="B35" s="62" t="s">
        <v>242</v>
      </c>
      <c r="C35" s="62"/>
      <c r="D35" s="67" t="n">
        <v>0</v>
      </c>
    </row>
    <row r="36" customFormat="false" ht="32.25" hidden="false" customHeight="true" outlineLevel="0" collapsed="false">
      <c r="A36" s="58" t="s">
        <v>243</v>
      </c>
      <c r="B36" s="62" t="s">
        <v>244</v>
      </c>
      <c r="C36" s="62"/>
      <c r="D36" s="67" t="n">
        <v>0</v>
      </c>
    </row>
    <row r="37" customFormat="false" ht="26.25" hidden="false" customHeight="true" outlineLevel="0" collapsed="false">
      <c r="A37" s="58" t="s">
        <v>245</v>
      </c>
      <c r="B37" s="62" t="s">
        <v>246</v>
      </c>
      <c r="C37" s="62"/>
      <c r="D37" s="67" t="n">
        <v>0</v>
      </c>
    </row>
    <row r="38" customFormat="false" ht="12.75" hidden="false" customHeight="true" outlineLevel="0" collapsed="false">
      <c r="A38" s="58" t="s">
        <v>247</v>
      </c>
      <c r="B38" s="62" t="s">
        <v>248</v>
      </c>
      <c r="C38" s="62"/>
      <c r="D38" s="66" t="n">
        <v>46.16</v>
      </c>
    </row>
    <row r="39" customFormat="false" ht="12.75" hidden="false" customHeight="true" outlineLevel="0" collapsed="false">
      <c r="A39" s="58" t="s">
        <v>249</v>
      </c>
      <c r="B39" s="62" t="s">
        <v>250</v>
      </c>
      <c r="C39" s="62"/>
      <c r="D39" s="67" t="n">
        <v>0</v>
      </c>
    </row>
    <row r="40" customFormat="false" ht="12.75" hidden="false" customHeight="true" outlineLevel="0" collapsed="false">
      <c r="A40" s="68"/>
      <c r="B40" s="60" t="s">
        <v>251</v>
      </c>
      <c r="C40" s="60"/>
      <c r="D40" s="69" t="n">
        <f aca="false">SUM(D31:D39)</f>
        <v>1684.25</v>
      </c>
    </row>
    <row r="41" customFormat="false" ht="12.75" hidden="false" customHeight="true" outlineLevel="0" collapsed="false">
      <c r="A41" s="58" t="s">
        <v>252</v>
      </c>
      <c r="B41" s="58"/>
      <c r="C41" s="58"/>
      <c r="D41" s="58"/>
    </row>
    <row r="42" customFormat="false" ht="12.75" hidden="false" customHeight="true" outlineLevel="0" collapsed="false">
      <c r="A42" s="59"/>
      <c r="B42" s="59"/>
      <c r="C42" s="59"/>
      <c r="D42" s="59"/>
    </row>
    <row r="43" customFormat="false" ht="12.75" hidden="false" customHeight="true" outlineLevel="0" collapsed="false">
      <c r="A43" s="65" t="s">
        <v>253</v>
      </c>
      <c r="B43" s="65"/>
      <c r="C43" s="65"/>
      <c r="D43" s="65"/>
    </row>
    <row r="44" customFormat="false" ht="12.75" hidden="false" customHeight="true" outlineLevel="0" collapsed="false">
      <c r="A44" s="70" t="s">
        <v>254</v>
      </c>
      <c r="B44" s="70"/>
      <c r="C44" s="70"/>
      <c r="D44" s="70"/>
    </row>
    <row r="45" customFormat="false" ht="12.75" hidden="false" customHeight="true" outlineLevel="0" collapsed="false">
      <c r="A45" s="60" t="s">
        <v>255</v>
      </c>
      <c r="B45" s="60" t="s">
        <v>256</v>
      </c>
      <c r="C45" s="60"/>
      <c r="D45" s="60" t="s">
        <v>236</v>
      </c>
    </row>
    <row r="46" customFormat="false" ht="12.75" hidden="false" customHeight="true" outlineLevel="0" collapsed="false">
      <c r="A46" s="58" t="s">
        <v>212</v>
      </c>
      <c r="B46" s="71" t="s">
        <v>257</v>
      </c>
      <c r="C46" s="72" t="s">
        <v>258</v>
      </c>
      <c r="D46" s="67" t="n">
        <f aca="false">D40*0.0833</f>
        <v>140.298025</v>
      </c>
    </row>
    <row r="47" customFormat="false" ht="12.75" hidden="false" customHeight="true" outlineLevel="0" collapsed="false">
      <c r="A47" s="58" t="s">
        <v>214</v>
      </c>
      <c r="B47" s="71" t="s">
        <v>259</v>
      </c>
      <c r="C47" s="72" t="s">
        <v>258</v>
      </c>
      <c r="D47" s="67" t="n">
        <f aca="false">D40*0.0278</f>
        <v>46.82215</v>
      </c>
    </row>
    <row r="48" customFormat="false" ht="12.75" hidden="false" customHeight="true" outlineLevel="0" collapsed="false">
      <c r="A48" s="73" t="s">
        <v>260</v>
      </c>
      <c r="B48" s="73"/>
      <c r="C48" s="73"/>
      <c r="D48" s="74" t="n">
        <f aca="false">SUM(D46:D47)</f>
        <v>187.120175</v>
      </c>
    </row>
    <row r="49" customFormat="false" ht="12.75" hidden="false" customHeight="true" outlineLevel="0" collapsed="false">
      <c r="A49" s="58" t="s">
        <v>217</v>
      </c>
      <c r="B49" s="71" t="s">
        <v>261</v>
      </c>
      <c r="C49" s="72" t="s">
        <v>258</v>
      </c>
      <c r="D49" s="67" t="n">
        <f aca="false">(D46+D47)*C62</f>
        <v>74.47382965</v>
      </c>
    </row>
    <row r="50" customFormat="false" ht="12.75" hidden="false" customHeight="true" outlineLevel="0" collapsed="false">
      <c r="A50" s="60" t="s">
        <v>262</v>
      </c>
      <c r="B50" s="60"/>
      <c r="C50" s="60"/>
      <c r="D50" s="69" t="n">
        <f aca="false">D48+D49</f>
        <v>261.59400465</v>
      </c>
    </row>
    <row r="51" customFormat="false" ht="54.75" hidden="false" customHeight="true" outlineLevel="0" collapsed="false">
      <c r="A51" s="80" t="s">
        <v>263</v>
      </c>
      <c r="B51" s="80"/>
      <c r="C51" s="80"/>
      <c r="D51" s="80"/>
    </row>
    <row r="52" customFormat="false" ht="12.75" hidden="false" customHeight="true" outlineLevel="0" collapsed="false">
      <c r="A52" s="61" t="s">
        <v>264</v>
      </c>
      <c r="B52" s="61"/>
      <c r="C52" s="61"/>
      <c r="D52" s="61"/>
    </row>
    <row r="53" customFormat="false" ht="12.75" hidden="false" customHeight="true" outlineLevel="0" collapsed="false">
      <c r="A53" s="60" t="s">
        <v>265</v>
      </c>
      <c r="B53" s="81" t="s">
        <v>266</v>
      </c>
      <c r="C53" s="60" t="s">
        <v>267</v>
      </c>
      <c r="D53" s="60" t="s">
        <v>236</v>
      </c>
    </row>
    <row r="54" customFormat="false" ht="12.75" hidden="false" customHeight="true" outlineLevel="0" collapsed="false">
      <c r="A54" s="58" t="s">
        <v>212</v>
      </c>
      <c r="B54" s="71" t="s">
        <v>268</v>
      </c>
      <c r="C54" s="82" t="n">
        <v>0.2</v>
      </c>
      <c r="D54" s="67" t="n">
        <f aca="false">C54*$D$40</f>
        <v>336.85</v>
      </c>
    </row>
    <row r="55" customFormat="false" ht="12.75" hidden="false" customHeight="true" outlineLevel="0" collapsed="false">
      <c r="A55" s="58" t="s">
        <v>214</v>
      </c>
      <c r="B55" s="71" t="s">
        <v>269</v>
      </c>
      <c r="C55" s="82" t="n">
        <v>0.025</v>
      </c>
      <c r="D55" s="67" t="n">
        <f aca="false">C55*$D$40</f>
        <v>42.10625</v>
      </c>
    </row>
    <row r="56" customFormat="false" ht="12.75" hidden="false" customHeight="true" outlineLevel="0" collapsed="false">
      <c r="A56" s="58" t="s">
        <v>217</v>
      </c>
      <c r="B56" s="71" t="s">
        <v>270</v>
      </c>
      <c r="C56" s="82" t="n">
        <v>0.06</v>
      </c>
      <c r="D56" s="67" t="n">
        <f aca="false">C56*$D$40</f>
        <v>101.055</v>
      </c>
    </row>
    <row r="57" customFormat="false" ht="12.75" hidden="false" customHeight="true" outlineLevel="0" collapsed="false">
      <c r="A57" s="58" t="s">
        <v>220</v>
      </c>
      <c r="B57" s="71" t="s">
        <v>271</v>
      </c>
      <c r="C57" s="82" t="n">
        <v>0.015</v>
      </c>
      <c r="D57" s="67" t="n">
        <f aca="false">C57*$D$40</f>
        <v>25.26375</v>
      </c>
    </row>
    <row r="58" customFormat="false" ht="12.75" hidden="false" customHeight="true" outlineLevel="0" collapsed="false">
      <c r="A58" s="58" t="s">
        <v>241</v>
      </c>
      <c r="B58" s="71" t="s">
        <v>272</v>
      </c>
      <c r="C58" s="82" t="n">
        <v>0.01</v>
      </c>
      <c r="D58" s="67" t="n">
        <f aca="false">C58*$D$40</f>
        <v>16.8425</v>
      </c>
    </row>
    <row r="59" customFormat="false" ht="12.75" hidden="false" customHeight="true" outlineLevel="0" collapsed="false">
      <c r="A59" s="58" t="s">
        <v>243</v>
      </c>
      <c r="B59" s="71" t="s">
        <v>273</v>
      </c>
      <c r="C59" s="82" t="n">
        <v>0.006</v>
      </c>
      <c r="D59" s="67" t="n">
        <f aca="false">C59*$D$40</f>
        <v>10.1055</v>
      </c>
    </row>
    <row r="60" customFormat="false" ht="12.75" hidden="false" customHeight="true" outlineLevel="0" collapsed="false">
      <c r="A60" s="58" t="s">
        <v>245</v>
      </c>
      <c r="B60" s="71" t="s">
        <v>274</v>
      </c>
      <c r="C60" s="82" t="n">
        <v>0.002</v>
      </c>
      <c r="D60" s="67" t="n">
        <f aca="false">C60*$D$40</f>
        <v>3.3685</v>
      </c>
    </row>
    <row r="61" customFormat="false" ht="12.75" hidden="false" customHeight="true" outlineLevel="0" collapsed="false">
      <c r="A61" s="58" t="s">
        <v>247</v>
      </c>
      <c r="B61" s="71" t="s">
        <v>275</v>
      </c>
      <c r="C61" s="82" t="n">
        <v>0.08</v>
      </c>
      <c r="D61" s="67" t="n">
        <f aca="false">C61*$D$40</f>
        <v>134.74</v>
      </c>
    </row>
    <row r="62" customFormat="false" ht="12.75" hidden="false" customHeight="true" outlineLevel="0" collapsed="false">
      <c r="A62" s="68"/>
      <c r="B62" s="81" t="s">
        <v>276</v>
      </c>
      <c r="C62" s="84" t="n">
        <f aca="false">SUM(C54:C61)</f>
        <v>0.398</v>
      </c>
      <c r="D62" s="69" t="n">
        <f aca="false">SUM(D54:D61)</f>
        <v>670.3315</v>
      </c>
    </row>
    <row r="63" customFormat="false" ht="12.75" hidden="false" customHeight="true" outlineLevel="0" collapsed="false">
      <c r="A63" s="85"/>
      <c r="B63" s="85"/>
      <c r="C63" s="85"/>
      <c r="D63" s="85"/>
    </row>
    <row r="64" customFormat="false" ht="12.75" hidden="false" customHeight="true" outlineLevel="0" collapsed="false">
      <c r="A64" s="70" t="s">
        <v>277</v>
      </c>
      <c r="B64" s="70"/>
      <c r="C64" s="70"/>
      <c r="D64" s="70"/>
    </row>
    <row r="65" customFormat="false" ht="12.75" hidden="false" customHeight="true" outlineLevel="0" collapsed="false">
      <c r="A65" s="60" t="s">
        <v>278</v>
      </c>
      <c r="B65" s="60" t="s">
        <v>279</v>
      </c>
      <c r="C65" s="60"/>
      <c r="D65" s="60" t="s">
        <v>236</v>
      </c>
    </row>
    <row r="66" customFormat="false" ht="12.75" hidden="false" customHeight="true" outlineLevel="0" collapsed="false">
      <c r="A66" s="58" t="s">
        <v>212</v>
      </c>
      <c r="B66" s="62" t="s">
        <v>367</v>
      </c>
      <c r="C66" s="62"/>
      <c r="D66" s="96" t="n">
        <f aca="false">(6*2*25.22)-6%*D31</f>
        <v>230.7546</v>
      </c>
    </row>
    <row r="67" customFormat="false" ht="16.5" hidden="false" customHeight="true" outlineLevel="0" collapsed="false">
      <c r="A67" s="58" t="s">
        <v>214</v>
      </c>
      <c r="B67" s="62" t="s">
        <v>368</v>
      </c>
      <c r="C67" s="62"/>
      <c r="D67" s="66" t="n">
        <f aca="false">(16*21.01)-(16*21.01)*5%</f>
        <v>319.352</v>
      </c>
    </row>
    <row r="68" customFormat="false" ht="24" hidden="false" customHeight="true" outlineLevel="0" collapsed="false">
      <c r="A68" s="58" t="s">
        <v>217</v>
      </c>
      <c r="B68" s="62" t="s">
        <v>282</v>
      </c>
      <c r="C68" s="62"/>
      <c r="D68" s="66" t="n">
        <v>0</v>
      </c>
    </row>
    <row r="69" customFormat="false" ht="16.5" hidden="false" customHeight="true" outlineLevel="0" collapsed="false">
      <c r="A69" s="58" t="s">
        <v>220</v>
      </c>
      <c r="B69" s="62" t="s">
        <v>283</v>
      </c>
      <c r="C69" s="62"/>
      <c r="D69" s="66" t="n">
        <v>0</v>
      </c>
    </row>
    <row r="70" customFormat="false" ht="27" hidden="false" customHeight="true" outlineLevel="0" collapsed="false">
      <c r="A70" s="58" t="s">
        <v>241</v>
      </c>
      <c r="B70" s="62" t="s">
        <v>284</v>
      </c>
      <c r="C70" s="62"/>
      <c r="D70" s="66" t="n">
        <v>49</v>
      </c>
    </row>
    <row r="71" customFormat="false" ht="16.5" hidden="false" customHeight="true" outlineLevel="0" collapsed="false">
      <c r="A71" s="58" t="s">
        <v>243</v>
      </c>
      <c r="B71" s="62" t="s">
        <v>285</v>
      </c>
      <c r="C71" s="62"/>
      <c r="D71" s="66" t="n">
        <v>120</v>
      </c>
    </row>
    <row r="72" customFormat="false" ht="16.5" hidden="false" customHeight="true" outlineLevel="0" collapsed="false">
      <c r="A72" s="58" t="s">
        <v>245</v>
      </c>
      <c r="B72" s="62" t="s">
        <v>286</v>
      </c>
      <c r="C72" s="62"/>
      <c r="D72" s="67" t="n">
        <v>0</v>
      </c>
    </row>
    <row r="73" customFormat="false" ht="16.5" hidden="false" customHeight="true" outlineLevel="0" collapsed="false">
      <c r="A73" s="60" t="s">
        <v>287</v>
      </c>
      <c r="B73" s="60"/>
      <c r="C73" s="60"/>
      <c r="D73" s="69" t="n">
        <f aca="false">SUM(D66:D72)</f>
        <v>719.1066</v>
      </c>
    </row>
    <row r="74" customFormat="false" ht="39.75" hidden="false" customHeight="true" outlineLevel="0" collapsed="false">
      <c r="A74" s="80" t="s">
        <v>288</v>
      </c>
      <c r="B74" s="80"/>
      <c r="C74" s="80"/>
      <c r="D74" s="80"/>
    </row>
    <row r="75" customFormat="false" ht="16.5" hidden="false" customHeight="true" outlineLevel="0" collapsed="false">
      <c r="A75" s="70" t="s">
        <v>289</v>
      </c>
      <c r="B75" s="70"/>
      <c r="C75" s="70"/>
      <c r="D75" s="70"/>
    </row>
    <row r="76" customFormat="false" ht="12.75" hidden="false" customHeight="true" outlineLevel="0" collapsed="false">
      <c r="A76" s="60" t="n">
        <v>2</v>
      </c>
      <c r="B76" s="60" t="s">
        <v>290</v>
      </c>
      <c r="C76" s="60"/>
      <c r="D76" s="60" t="s">
        <v>236</v>
      </c>
    </row>
    <row r="77" customFormat="false" ht="12.75" hidden="false" customHeight="true" outlineLevel="0" collapsed="false">
      <c r="A77" s="58" t="s">
        <v>255</v>
      </c>
      <c r="B77" s="62" t="s">
        <v>256</v>
      </c>
      <c r="C77" s="62"/>
      <c r="D77" s="67" t="n">
        <f aca="false">D50</f>
        <v>261.59400465</v>
      </c>
    </row>
    <row r="78" customFormat="false" ht="16.5" hidden="false" customHeight="true" outlineLevel="0" collapsed="false">
      <c r="A78" s="58" t="s">
        <v>265</v>
      </c>
      <c r="B78" s="62" t="s">
        <v>266</v>
      </c>
      <c r="C78" s="62"/>
      <c r="D78" s="67" t="n">
        <f aca="false">D62</f>
        <v>670.3315</v>
      </c>
    </row>
    <row r="79" customFormat="false" ht="16.5" hidden="false" customHeight="true" outlineLevel="0" collapsed="false">
      <c r="A79" s="58" t="s">
        <v>278</v>
      </c>
      <c r="B79" s="62" t="s">
        <v>279</v>
      </c>
      <c r="C79" s="62"/>
      <c r="D79" s="67" t="n">
        <f aca="false">D73</f>
        <v>719.1066</v>
      </c>
    </row>
    <row r="80" customFormat="false" ht="16.5" hidden="false" customHeight="true" outlineLevel="0" collapsed="false">
      <c r="A80" s="60" t="s">
        <v>291</v>
      </c>
      <c r="B80" s="60"/>
      <c r="C80" s="60"/>
      <c r="D80" s="69" t="n">
        <f aca="false">SUM(D77:D79)</f>
        <v>1651.03210465</v>
      </c>
    </row>
    <row r="81" customFormat="false" ht="12.75" hidden="false" customHeight="true" outlineLevel="0" collapsed="false">
      <c r="A81" s="85"/>
      <c r="B81" s="85"/>
      <c r="C81" s="85"/>
      <c r="D81" s="85"/>
    </row>
    <row r="82" customFormat="false" ht="16.5" hidden="false" customHeight="true" outlineLevel="0" collapsed="false">
      <c r="A82" s="65" t="s">
        <v>292</v>
      </c>
      <c r="B82" s="65"/>
      <c r="C82" s="65"/>
      <c r="D82" s="65"/>
    </row>
    <row r="83" customFormat="false" ht="12.75" hidden="false" customHeight="true" outlineLevel="0" collapsed="false">
      <c r="A83" s="60" t="n">
        <v>3</v>
      </c>
      <c r="B83" s="60" t="s">
        <v>293</v>
      </c>
      <c r="C83" s="60"/>
      <c r="D83" s="60" t="s">
        <v>236</v>
      </c>
    </row>
    <row r="84" customFormat="false" ht="66.75" hidden="false" customHeight="true" outlineLevel="0" collapsed="false">
      <c r="A84" s="58" t="s">
        <v>212</v>
      </c>
      <c r="B84" s="62" t="s">
        <v>294</v>
      </c>
      <c r="C84" s="62"/>
      <c r="D84" s="67" t="n">
        <f aca="false">ROUND((($D$40/12)+($D$46/12)+($D$40/12/12)+($D$47/12))*(30/30)*0.05,2)</f>
        <v>8.38</v>
      </c>
    </row>
    <row r="85" customFormat="false" ht="26.25" hidden="false" customHeight="true" outlineLevel="0" collapsed="false">
      <c r="A85" s="58" t="s">
        <v>214</v>
      </c>
      <c r="B85" s="62" t="s">
        <v>295</v>
      </c>
      <c r="C85" s="62"/>
      <c r="D85" s="67" t="n">
        <f aca="false">(D84*C61)</f>
        <v>0.6704</v>
      </c>
    </row>
    <row r="86" customFormat="false" ht="12.75" hidden="false" customHeight="true" outlineLevel="0" collapsed="false">
      <c r="A86" s="58" t="s">
        <v>217</v>
      </c>
      <c r="B86" s="62" t="s">
        <v>296</v>
      </c>
      <c r="C86" s="72" t="s">
        <v>258</v>
      </c>
      <c r="D86" s="67" t="n">
        <f aca="false">ROUND(0.08*0.4*($D$40+$D$46+$D$47+$D$97)*0.05,2)</f>
        <v>3.26</v>
      </c>
    </row>
    <row r="87" customFormat="false" ht="26.25" hidden="false" customHeight="true" outlineLevel="0" collapsed="false">
      <c r="A87" s="58" t="s">
        <v>220</v>
      </c>
      <c r="B87" s="62" t="s">
        <v>297</v>
      </c>
      <c r="C87" s="62"/>
      <c r="D87" s="67" t="n">
        <f aca="false">D40*0.0194</f>
        <v>32.67445</v>
      </c>
    </row>
    <row r="88" customFormat="false" ht="30.75" hidden="false" customHeight="true" outlineLevel="0" collapsed="false">
      <c r="A88" s="58" t="s">
        <v>241</v>
      </c>
      <c r="B88" s="62" t="s">
        <v>298</v>
      </c>
      <c r="C88" s="62"/>
      <c r="D88" s="67" t="n">
        <f aca="false">D87*C62</f>
        <v>13.0044311</v>
      </c>
    </row>
    <row r="89" customFormat="false" ht="30.75" hidden="false" customHeight="true" outlineLevel="0" collapsed="false">
      <c r="A89" s="58" t="s">
        <v>243</v>
      </c>
      <c r="B89" s="62" t="s">
        <v>369</v>
      </c>
      <c r="C89" s="72" t="s">
        <v>258</v>
      </c>
      <c r="D89" s="67" t="n">
        <f aca="false">ROUND(0.08*0.4*($D$40+$D$46+$D$47+$D$97)*1,2)</f>
        <v>65.25</v>
      </c>
    </row>
    <row r="90" customFormat="false" ht="12.75" hidden="false" customHeight="true" outlineLevel="0" collapsed="false">
      <c r="A90" s="60" t="s">
        <v>300</v>
      </c>
      <c r="B90" s="60"/>
      <c r="C90" s="60"/>
      <c r="D90" s="69" t="n">
        <f aca="false">SUM(D84+D85+D86+D87+D88+D89)</f>
        <v>123.2392811</v>
      </c>
    </row>
    <row r="91" customFormat="false" ht="12.75" hidden="false" customHeight="true" outlineLevel="0" collapsed="false">
      <c r="A91" s="85"/>
      <c r="B91" s="85"/>
      <c r="C91" s="85"/>
      <c r="D91" s="85"/>
    </row>
    <row r="92" customFormat="false" ht="16.5" hidden="false" customHeight="true" outlineLevel="0" collapsed="false">
      <c r="A92" s="65" t="s">
        <v>301</v>
      </c>
      <c r="B92" s="65"/>
      <c r="C92" s="65"/>
      <c r="D92" s="65"/>
    </row>
    <row r="93" customFormat="false" ht="39.75" hidden="false" customHeight="true" outlineLevel="0" collapsed="false">
      <c r="A93" s="80" t="s">
        <v>302</v>
      </c>
      <c r="B93" s="80"/>
      <c r="C93" s="80"/>
      <c r="D93" s="80"/>
    </row>
    <row r="94" customFormat="false" ht="48.75" hidden="false" customHeight="true" outlineLevel="0" collapsed="false">
      <c r="A94" s="73" t="s">
        <v>303</v>
      </c>
      <c r="B94" s="73"/>
      <c r="C94" s="73"/>
      <c r="D94" s="88" t="n">
        <f aca="false">ROUND(D40/12,2)+D40+D46+D47</f>
        <v>2011.720175</v>
      </c>
    </row>
    <row r="95" customFormat="false" ht="12.75" hidden="false" customHeight="true" outlineLevel="0" collapsed="false">
      <c r="A95" s="61" t="s">
        <v>304</v>
      </c>
      <c r="B95" s="61"/>
      <c r="C95" s="61"/>
      <c r="D95" s="61"/>
    </row>
    <row r="96" customFormat="false" ht="12.75" hidden="false" customHeight="true" outlineLevel="0" collapsed="false">
      <c r="A96" s="60" t="s">
        <v>305</v>
      </c>
      <c r="B96" s="60" t="s">
        <v>306</v>
      </c>
      <c r="C96" s="60"/>
      <c r="D96" s="60" t="s">
        <v>236</v>
      </c>
    </row>
    <row r="97" customFormat="false" ht="12.75" hidden="false" customHeight="true" outlineLevel="0" collapsed="false">
      <c r="A97" s="58" t="s">
        <v>212</v>
      </c>
      <c r="B97" s="62" t="s">
        <v>307</v>
      </c>
      <c r="C97" s="62"/>
      <c r="D97" s="67" t="n">
        <f aca="false">D94*0.0833</f>
        <v>167.5762905775</v>
      </c>
    </row>
    <row r="98" customFormat="false" ht="16.5" hidden="false" customHeight="true" outlineLevel="0" collapsed="false">
      <c r="A98" s="58" t="s">
        <v>214</v>
      </c>
      <c r="B98" s="62" t="s">
        <v>308</v>
      </c>
      <c r="C98" s="62"/>
      <c r="D98" s="67" t="n">
        <f aca="false">($D$94/30/12)*1</f>
        <v>5.58811159722222</v>
      </c>
    </row>
    <row r="99" customFormat="false" ht="16.5" hidden="false" customHeight="true" outlineLevel="0" collapsed="false">
      <c r="A99" s="58" t="s">
        <v>217</v>
      </c>
      <c r="B99" s="62" t="s">
        <v>309</v>
      </c>
      <c r="C99" s="62"/>
      <c r="D99" s="67" t="n">
        <f aca="false">(($D$94/30/12)*5)*0.015</f>
        <v>0.419108369791667</v>
      </c>
    </row>
    <row r="100" customFormat="false" ht="16.5" hidden="false" customHeight="true" outlineLevel="0" collapsed="false">
      <c r="A100" s="58" t="s">
        <v>220</v>
      </c>
      <c r="B100" s="62" t="s">
        <v>310</v>
      </c>
      <c r="C100" s="62"/>
      <c r="D100" s="67" t="n">
        <f aca="false">(($D$94/30/12)*30)*0.08</f>
        <v>13.4114678333333</v>
      </c>
    </row>
    <row r="101" customFormat="false" ht="16.5" hidden="false" customHeight="true" outlineLevel="0" collapsed="false">
      <c r="A101" s="58" t="s">
        <v>241</v>
      </c>
      <c r="B101" s="62" t="s">
        <v>311</v>
      </c>
      <c r="C101" s="62"/>
      <c r="D101" s="67" t="n">
        <f aca="false">(($D$94/30/12)*5)*0.4</f>
        <v>11.1762231944444</v>
      </c>
    </row>
    <row r="102" customFormat="false" ht="24.75" hidden="false" customHeight="true" outlineLevel="0" collapsed="false">
      <c r="A102" s="58" t="s">
        <v>243</v>
      </c>
      <c r="B102" s="62" t="s">
        <v>312</v>
      </c>
      <c r="C102" s="62"/>
      <c r="D102" s="66" t="n">
        <f aca="false">(D97+D98+D99+D100+D101)*C62</f>
        <v>78.8721382257721</v>
      </c>
    </row>
    <row r="103" customFormat="false" ht="41.25" hidden="false" customHeight="true" outlineLevel="0" collapsed="false">
      <c r="A103" s="58" t="s">
        <v>245</v>
      </c>
      <c r="B103" s="62" t="s">
        <v>313</v>
      </c>
      <c r="C103" s="72" t="s">
        <v>258</v>
      </c>
      <c r="D103" s="67" t="n">
        <f aca="false">(((D40+(D40/3))*(4/12))/12)*0.02</f>
        <v>1.24759259259259</v>
      </c>
    </row>
    <row r="104" customFormat="false" ht="46.5" hidden="false" customHeight="true" outlineLevel="0" collapsed="false">
      <c r="A104" s="58" t="s">
        <v>247</v>
      </c>
      <c r="B104" s="62" t="s">
        <v>314</v>
      </c>
      <c r="C104" s="72" t="s">
        <v>258</v>
      </c>
      <c r="D104" s="67" t="n">
        <f aca="false">D103*C62</f>
        <v>0.496541851851852</v>
      </c>
    </row>
    <row r="105" customFormat="false" ht="39" hidden="false" customHeight="true" outlineLevel="0" collapsed="false">
      <c r="A105" s="58" t="s">
        <v>249</v>
      </c>
      <c r="B105" s="62" t="s">
        <v>315</v>
      </c>
      <c r="C105" s="72" t="s">
        <v>258</v>
      </c>
      <c r="D105" s="67" t="n">
        <f aca="false">(((D40+(D40/12))*(4/12))*0.02)*C62</f>
        <v>4.84128305555556</v>
      </c>
    </row>
    <row r="106" customFormat="false" ht="12.75" hidden="false" customHeight="true" outlineLevel="0" collapsed="false">
      <c r="A106" s="60" t="s">
        <v>316</v>
      </c>
      <c r="B106" s="60"/>
      <c r="C106" s="60"/>
      <c r="D106" s="69" t="n">
        <f aca="false">SUM(D97:D105)</f>
        <v>283.628757298064</v>
      </c>
    </row>
    <row r="107" customFormat="false" ht="12.75" hidden="false" customHeight="true" outlineLevel="0" collapsed="false">
      <c r="A107" s="85"/>
      <c r="B107" s="85"/>
      <c r="C107" s="85"/>
      <c r="D107" s="85"/>
    </row>
    <row r="108" customFormat="false" ht="16.5" hidden="false" customHeight="true" outlineLevel="0" collapsed="false">
      <c r="A108" s="70" t="s">
        <v>317</v>
      </c>
      <c r="B108" s="70"/>
      <c r="C108" s="70"/>
      <c r="D108" s="70"/>
    </row>
    <row r="109" customFormat="false" ht="12.75" hidden="false" customHeight="true" outlineLevel="0" collapsed="false">
      <c r="A109" s="60" t="s">
        <v>318</v>
      </c>
      <c r="B109" s="60" t="s">
        <v>319</v>
      </c>
      <c r="C109" s="60"/>
      <c r="D109" s="60" t="s">
        <v>236</v>
      </c>
    </row>
    <row r="110" customFormat="false" ht="12.75" hidden="false" customHeight="true" outlineLevel="0" collapsed="false">
      <c r="A110" s="58" t="s">
        <v>212</v>
      </c>
      <c r="B110" s="62" t="s">
        <v>320</v>
      </c>
      <c r="C110" s="62"/>
      <c r="D110" s="67" t="n">
        <v>0</v>
      </c>
    </row>
    <row r="111" customFormat="false" ht="12.75" hidden="false" customHeight="true" outlineLevel="0" collapsed="false">
      <c r="A111" s="60" t="s">
        <v>321</v>
      </c>
      <c r="B111" s="60"/>
      <c r="C111" s="60"/>
      <c r="D111" s="69" t="n">
        <f aca="false">SUM(D110)</f>
        <v>0</v>
      </c>
    </row>
    <row r="112" customFormat="false" ht="12.75" hidden="false" customHeight="true" outlineLevel="0" collapsed="false">
      <c r="A112" s="85"/>
      <c r="B112" s="85"/>
      <c r="C112" s="85"/>
      <c r="D112" s="85"/>
    </row>
    <row r="113" customFormat="false" ht="15.75" hidden="false" customHeight="true" outlineLevel="0" collapsed="false">
      <c r="A113" s="70" t="s">
        <v>322</v>
      </c>
      <c r="B113" s="70"/>
      <c r="C113" s="70"/>
      <c r="D113" s="70"/>
    </row>
    <row r="114" customFormat="false" ht="12.75" hidden="false" customHeight="true" outlineLevel="0" collapsed="false">
      <c r="A114" s="60" t="n">
        <v>4</v>
      </c>
      <c r="B114" s="60" t="s">
        <v>290</v>
      </c>
      <c r="C114" s="60"/>
      <c r="D114" s="60" t="s">
        <v>236</v>
      </c>
    </row>
    <row r="115" customFormat="false" ht="12.75" hidden="false" customHeight="true" outlineLevel="0" collapsed="false">
      <c r="A115" s="58" t="s">
        <v>305</v>
      </c>
      <c r="B115" s="62" t="s">
        <v>323</v>
      </c>
      <c r="C115" s="62"/>
      <c r="D115" s="67" t="n">
        <f aca="false">D106</f>
        <v>283.628757298064</v>
      </c>
    </row>
    <row r="116" customFormat="false" ht="16.5" hidden="false" customHeight="true" outlineLevel="0" collapsed="false">
      <c r="A116" s="58" t="s">
        <v>318</v>
      </c>
      <c r="B116" s="62" t="s">
        <v>319</v>
      </c>
      <c r="C116" s="62"/>
      <c r="D116" s="67" t="n">
        <f aca="false">D111</f>
        <v>0</v>
      </c>
    </row>
    <row r="117" customFormat="false" ht="16.5" hidden="false" customHeight="true" outlineLevel="0" collapsed="false">
      <c r="A117" s="60" t="s">
        <v>291</v>
      </c>
      <c r="B117" s="60"/>
      <c r="C117" s="60"/>
      <c r="D117" s="69" t="n">
        <f aca="false">D115+D116</f>
        <v>283.628757298064</v>
      </c>
    </row>
    <row r="118" customFormat="false" ht="12.75" hidden="false" customHeight="true" outlineLevel="0" collapsed="false">
      <c r="A118" s="85"/>
      <c r="B118" s="85"/>
      <c r="C118" s="85"/>
      <c r="D118" s="85"/>
    </row>
    <row r="119" customFormat="false" ht="12.75" hidden="false" customHeight="true" outlineLevel="0" collapsed="false">
      <c r="A119" s="65" t="s">
        <v>324</v>
      </c>
      <c r="B119" s="65"/>
      <c r="C119" s="65"/>
      <c r="D119" s="65"/>
    </row>
    <row r="120" customFormat="false" ht="12.75" hidden="false" customHeight="true" outlineLevel="0" collapsed="false">
      <c r="A120" s="60" t="n">
        <v>5</v>
      </c>
      <c r="B120" s="60" t="s">
        <v>325</v>
      </c>
      <c r="C120" s="60"/>
      <c r="D120" s="60" t="s">
        <v>236</v>
      </c>
    </row>
    <row r="121" customFormat="false" ht="35.25" hidden="false" customHeight="true" outlineLevel="0" collapsed="false">
      <c r="A121" s="58" t="s">
        <v>212</v>
      </c>
      <c r="B121" s="89" t="s">
        <v>326</v>
      </c>
      <c r="C121" s="89"/>
      <c r="D121" s="67" t="n">
        <f aca="false">'EPI e uniformes'!F11</f>
        <v>11.7095456892355</v>
      </c>
    </row>
    <row r="122" customFormat="false" ht="38.25" hidden="false" customHeight="true" outlineLevel="0" collapsed="false">
      <c r="A122" s="58" t="s">
        <v>214</v>
      </c>
      <c r="B122" s="89" t="s">
        <v>327</v>
      </c>
      <c r="C122" s="89"/>
      <c r="D122" s="67" t="n">
        <f aca="false">'EPI e uniformes'!F22</f>
        <v>25.4607105289572</v>
      </c>
    </row>
    <row r="123" customFormat="false" ht="38.25" hidden="false" customHeight="true" outlineLevel="0" collapsed="false">
      <c r="A123" s="58" t="s">
        <v>217</v>
      </c>
      <c r="B123" s="89" t="s">
        <v>328</v>
      </c>
      <c r="C123" s="89"/>
      <c r="D123" s="67" t="n">
        <f aca="false">materiais!G52</f>
        <v>295.727358069362</v>
      </c>
    </row>
    <row r="124" customFormat="false" ht="40.5" hidden="false" customHeight="true" outlineLevel="0" collapsed="false">
      <c r="A124" s="58" t="s">
        <v>220</v>
      </c>
      <c r="B124" s="89" t="s">
        <v>329</v>
      </c>
      <c r="C124" s="89"/>
      <c r="D124" s="67" t="n">
        <f aca="false">equipamentos!I13</f>
        <v>12.6125491359813</v>
      </c>
    </row>
    <row r="125" customFormat="false" ht="16.5" hidden="false" customHeight="true" outlineLevel="0" collapsed="false">
      <c r="A125" s="58" t="s">
        <v>241</v>
      </c>
      <c r="B125" s="89" t="s">
        <v>330</v>
      </c>
      <c r="C125" s="89"/>
      <c r="D125" s="66" t="n">
        <v>0</v>
      </c>
    </row>
    <row r="126" customFormat="false" ht="16.5" hidden="false" customHeight="true" outlineLevel="0" collapsed="false">
      <c r="A126" s="60" t="s">
        <v>331</v>
      </c>
      <c r="B126" s="60"/>
      <c r="C126" s="60"/>
      <c r="D126" s="69" t="n">
        <f aca="false">SUM(D121:D125)</f>
        <v>345.510163423536</v>
      </c>
    </row>
    <row r="127" customFormat="false" ht="12.75" hidden="false" customHeight="true" outlineLevel="0" collapsed="false">
      <c r="A127" s="85"/>
      <c r="B127" s="85"/>
      <c r="C127" s="85"/>
      <c r="D127" s="85"/>
    </row>
    <row r="128" customFormat="false" ht="16.5" hidden="false" customHeight="true" outlineLevel="0" collapsed="false">
      <c r="A128" s="65" t="s">
        <v>332</v>
      </c>
      <c r="B128" s="65"/>
      <c r="C128" s="65"/>
      <c r="D128" s="65"/>
    </row>
    <row r="129" customFormat="false" ht="12.75" hidden="false" customHeight="true" outlineLevel="0" collapsed="false">
      <c r="A129" s="60" t="n">
        <v>6</v>
      </c>
      <c r="B129" s="81" t="s">
        <v>333</v>
      </c>
      <c r="C129" s="60" t="s">
        <v>334</v>
      </c>
      <c r="D129" s="72" t="s">
        <v>236</v>
      </c>
    </row>
    <row r="130" customFormat="false" ht="12.75" hidden="false" customHeight="true" outlineLevel="0" collapsed="false">
      <c r="A130" s="58" t="s">
        <v>212</v>
      </c>
      <c r="B130" s="71" t="s">
        <v>335</v>
      </c>
      <c r="C130" s="90" t="n">
        <v>0.05</v>
      </c>
      <c r="D130" s="67" t="n">
        <f aca="false">D151*C130</f>
        <v>204.38301532358</v>
      </c>
    </row>
    <row r="131" customFormat="false" ht="44.25" hidden="false" customHeight="true" outlineLevel="0" collapsed="false">
      <c r="A131" s="58" t="s">
        <v>336</v>
      </c>
      <c r="B131" s="58"/>
      <c r="C131" s="58"/>
      <c r="D131" s="58"/>
    </row>
    <row r="132" customFormat="false" ht="12.75" hidden="false" customHeight="true" outlineLevel="0" collapsed="false">
      <c r="A132" s="58" t="s">
        <v>214</v>
      </c>
      <c r="B132" s="71" t="s">
        <v>337</v>
      </c>
      <c r="C132" s="90" t="n">
        <v>0.08</v>
      </c>
      <c r="D132" s="67" t="n">
        <f aca="false">(D151+D130)*C132</f>
        <v>343.363465743614</v>
      </c>
    </row>
    <row r="133" customFormat="false" ht="42.75" hidden="false" customHeight="true" outlineLevel="0" collapsed="false">
      <c r="A133" s="58" t="s">
        <v>338</v>
      </c>
      <c r="B133" s="58"/>
      <c r="C133" s="58"/>
      <c r="D133" s="58"/>
    </row>
    <row r="134" customFormat="false" ht="12.75" hidden="false" customHeight="true" outlineLevel="0" collapsed="false">
      <c r="A134" s="58" t="s">
        <v>217</v>
      </c>
      <c r="B134" s="71" t="s">
        <v>339</v>
      </c>
      <c r="C134" s="82"/>
      <c r="D134" s="58"/>
    </row>
    <row r="135" customFormat="false" ht="41.25" hidden="false" customHeight="true" outlineLevel="0" collapsed="false">
      <c r="A135" s="58" t="s">
        <v>340</v>
      </c>
      <c r="B135" s="58"/>
      <c r="C135" s="58"/>
      <c r="D135" s="58"/>
    </row>
    <row r="136" customFormat="false" ht="12.75" hidden="false" customHeight="true" outlineLevel="0" collapsed="false">
      <c r="A136" s="58"/>
      <c r="B136" s="71" t="s">
        <v>341</v>
      </c>
      <c r="C136" s="82"/>
      <c r="D136" s="58"/>
    </row>
    <row r="137" customFormat="false" ht="12.75" hidden="false" customHeight="true" outlineLevel="0" collapsed="false">
      <c r="A137" s="58"/>
      <c r="B137" s="71" t="s">
        <v>342</v>
      </c>
      <c r="C137" s="82" t="n">
        <v>0.0165</v>
      </c>
      <c r="D137" s="67" t="n">
        <f aca="false">($D$130+$D$132+$D$151)/(1-($C$137+$C$138+$C$140))*C137</f>
        <v>89.1944163199885</v>
      </c>
    </row>
    <row r="138" customFormat="false" ht="12.75" hidden="false" customHeight="true" outlineLevel="0" collapsed="false">
      <c r="A138" s="58"/>
      <c r="B138" s="71" t="s">
        <v>343</v>
      </c>
      <c r="C138" s="82" t="n">
        <v>0.076</v>
      </c>
      <c r="D138" s="67" t="n">
        <f aca="false">($D$130+$D$132+$D$151)/(1-($C$137+$C$138+$C$140))*C138</f>
        <v>410.834887292068</v>
      </c>
    </row>
    <row r="139" customFormat="false" ht="12.75" hidden="false" customHeight="true" outlineLevel="0" collapsed="false">
      <c r="A139" s="58"/>
      <c r="B139" s="71" t="s">
        <v>344</v>
      </c>
      <c r="C139" s="82"/>
      <c r="D139" s="58"/>
    </row>
    <row r="140" customFormat="false" ht="12.75" hidden="false" customHeight="true" outlineLevel="0" collapsed="false">
      <c r="A140" s="58"/>
      <c r="B140" s="71" t="s">
        <v>345</v>
      </c>
      <c r="C140" s="82" t="n">
        <v>0.05</v>
      </c>
      <c r="D140" s="67" t="n">
        <f aca="false">($D$130+$D$132+$D$151)/(1-($C$137+$C$138+$C$140))*C140</f>
        <v>270.286110060571</v>
      </c>
    </row>
    <row r="141" customFormat="false" ht="12.75" hidden="false" customHeight="true" outlineLevel="0" collapsed="false">
      <c r="A141" s="58"/>
      <c r="B141" s="71" t="s">
        <v>346</v>
      </c>
      <c r="C141" s="82"/>
      <c r="D141" s="82"/>
    </row>
    <row r="142" customFormat="false" ht="12.75" hidden="false" customHeight="true" outlineLevel="0" collapsed="false">
      <c r="A142" s="60" t="s">
        <v>347</v>
      </c>
      <c r="B142" s="60"/>
      <c r="C142" s="60"/>
      <c r="D142" s="91" t="n">
        <f aca="false">SUM(D130:D140)</f>
        <v>1318.06189473982</v>
      </c>
    </row>
    <row r="143" customFormat="false" ht="26.25" hidden="false" customHeight="true" outlineLevel="0" collapsed="false">
      <c r="A143" s="80" t="s">
        <v>348</v>
      </c>
      <c r="B143" s="80"/>
      <c r="C143" s="80"/>
      <c r="D143" s="80"/>
    </row>
    <row r="144" customFormat="false" ht="12.75" hidden="false" customHeight="true" outlineLevel="0" collapsed="false">
      <c r="A144" s="61" t="s">
        <v>349</v>
      </c>
      <c r="B144" s="61"/>
      <c r="C144" s="61"/>
      <c r="D144" s="61"/>
    </row>
    <row r="145" customFormat="false" ht="12.75" hidden="false" customHeight="true" outlineLevel="0" collapsed="false">
      <c r="A145" s="92"/>
      <c r="B145" s="60" t="s">
        <v>350</v>
      </c>
      <c r="C145" s="60"/>
      <c r="D145" s="68" t="s">
        <v>351</v>
      </c>
    </row>
    <row r="146" customFormat="false" ht="12.75" hidden="false" customHeight="true" outlineLevel="0" collapsed="false">
      <c r="A146" s="58" t="s">
        <v>212</v>
      </c>
      <c r="B146" s="62" t="s">
        <v>352</v>
      </c>
      <c r="C146" s="62"/>
      <c r="D146" s="67" t="n">
        <f aca="false">D40</f>
        <v>1684.25</v>
      </c>
    </row>
    <row r="147" customFormat="false" ht="12.75" hidden="false" customHeight="true" outlineLevel="0" collapsed="false">
      <c r="A147" s="58" t="s">
        <v>214</v>
      </c>
      <c r="B147" s="62" t="s">
        <v>353</v>
      </c>
      <c r="C147" s="62"/>
      <c r="D147" s="67" t="n">
        <f aca="false">D80</f>
        <v>1651.03210465</v>
      </c>
    </row>
    <row r="148" customFormat="false" ht="26.25" hidden="false" customHeight="true" outlineLevel="0" collapsed="false">
      <c r="A148" s="58" t="s">
        <v>217</v>
      </c>
      <c r="B148" s="62" t="s">
        <v>354</v>
      </c>
      <c r="C148" s="62"/>
      <c r="D148" s="67" t="n">
        <f aca="false">D90</f>
        <v>123.2392811</v>
      </c>
    </row>
    <row r="149" customFormat="false" ht="16.5" hidden="false" customHeight="true" outlineLevel="0" collapsed="false">
      <c r="A149" s="58" t="s">
        <v>220</v>
      </c>
      <c r="B149" s="62" t="s">
        <v>355</v>
      </c>
      <c r="C149" s="62"/>
      <c r="D149" s="67" t="n">
        <f aca="false">D117</f>
        <v>283.628757298064</v>
      </c>
    </row>
    <row r="150" customFormat="false" ht="16.5" hidden="false" customHeight="true" outlineLevel="0" collapsed="false">
      <c r="A150" s="58" t="s">
        <v>241</v>
      </c>
      <c r="B150" s="62" t="s">
        <v>356</v>
      </c>
      <c r="C150" s="62"/>
      <c r="D150" s="67" t="n">
        <f aca="false">D126</f>
        <v>345.510163423536</v>
      </c>
    </row>
    <row r="151" customFormat="false" ht="16.5" hidden="false" customHeight="true" outlineLevel="0" collapsed="false">
      <c r="A151" s="73" t="s">
        <v>357</v>
      </c>
      <c r="B151" s="73"/>
      <c r="C151" s="73"/>
      <c r="D151" s="74" t="n">
        <f aca="false">SUM(D146:D150)</f>
        <v>4087.6603064716</v>
      </c>
    </row>
    <row r="152" customFormat="false" ht="16.5" hidden="false" customHeight="true" outlineLevel="0" collapsed="false">
      <c r="A152" s="58" t="s">
        <v>243</v>
      </c>
      <c r="B152" s="62" t="s">
        <v>358</v>
      </c>
      <c r="C152" s="62"/>
      <c r="D152" s="67" t="n">
        <f aca="false">D142</f>
        <v>1318.06189473982</v>
      </c>
    </row>
    <row r="153" customFormat="false" ht="16.5" hidden="false" customHeight="true" outlineLevel="0" collapsed="false">
      <c r="A153" s="58" t="s">
        <v>245</v>
      </c>
      <c r="B153" s="62" t="s">
        <v>330</v>
      </c>
      <c r="C153" s="62"/>
      <c r="D153" s="67" t="n">
        <v>0</v>
      </c>
    </row>
    <row r="154" customFormat="false" ht="16.5" hidden="false" customHeight="true" outlineLevel="0" collapsed="false">
      <c r="A154" s="93" t="s">
        <v>359</v>
      </c>
      <c r="B154" s="93"/>
      <c r="C154" s="93"/>
      <c r="D154" s="94" t="n">
        <f aca="false">SUM(D152+D151+D153)</f>
        <v>5405.72220121142</v>
      </c>
    </row>
  </sheetData>
  <mergeCells count="128">
    <mergeCell ref="A1:D1"/>
    <mergeCell ref="A2:D2"/>
    <mergeCell ref="A3:D3"/>
    <mergeCell ref="A4:D4"/>
    <mergeCell ref="A5:D5"/>
    <mergeCell ref="A6:D6"/>
    <mergeCell ref="A7:D8"/>
    <mergeCell ref="A9:D9"/>
    <mergeCell ref="A10:D10"/>
    <mergeCell ref="B11:C11"/>
    <mergeCell ref="B12:C12"/>
    <mergeCell ref="B13:C13"/>
    <mergeCell ref="B14:C14"/>
    <mergeCell ref="A15:D15"/>
    <mergeCell ref="A16:D16"/>
    <mergeCell ref="A17:D17"/>
    <mergeCell ref="A18:D18"/>
    <mergeCell ref="A19:D19"/>
    <mergeCell ref="A20:D20"/>
    <mergeCell ref="A21:D21"/>
    <mergeCell ref="A22:D22"/>
    <mergeCell ref="B23:C23"/>
    <mergeCell ref="B24:C24"/>
    <mergeCell ref="B25:C25"/>
    <mergeCell ref="B26:C26"/>
    <mergeCell ref="B27:C27"/>
    <mergeCell ref="A28:D28"/>
    <mergeCell ref="A29:D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A41:D41"/>
    <mergeCell ref="A42:D42"/>
    <mergeCell ref="A43:D43"/>
    <mergeCell ref="A44:D44"/>
    <mergeCell ref="B45:C45"/>
    <mergeCell ref="A48:C48"/>
    <mergeCell ref="A50:C50"/>
    <mergeCell ref="A51:D51"/>
    <mergeCell ref="A52:D52"/>
    <mergeCell ref="A63:D63"/>
    <mergeCell ref="A64:D64"/>
    <mergeCell ref="B65:C65"/>
    <mergeCell ref="B66:C66"/>
    <mergeCell ref="B67:C67"/>
    <mergeCell ref="B68:C68"/>
    <mergeCell ref="B69:C69"/>
    <mergeCell ref="B70:C70"/>
    <mergeCell ref="B71:C71"/>
    <mergeCell ref="B72:C72"/>
    <mergeCell ref="A73:C73"/>
    <mergeCell ref="A74:D74"/>
    <mergeCell ref="A75:D75"/>
    <mergeCell ref="B76:C76"/>
    <mergeCell ref="B77:C77"/>
    <mergeCell ref="B78:C78"/>
    <mergeCell ref="B79:C79"/>
    <mergeCell ref="A80:C80"/>
    <mergeCell ref="A81:D81"/>
    <mergeCell ref="A82:D82"/>
    <mergeCell ref="B83:C83"/>
    <mergeCell ref="B84:C84"/>
    <mergeCell ref="B85:C85"/>
    <mergeCell ref="B87:C87"/>
    <mergeCell ref="B88:C88"/>
    <mergeCell ref="A90:C90"/>
    <mergeCell ref="A91:D91"/>
    <mergeCell ref="A92:D92"/>
    <mergeCell ref="A93:D93"/>
    <mergeCell ref="A94:C94"/>
    <mergeCell ref="A95:D95"/>
    <mergeCell ref="B96:C96"/>
    <mergeCell ref="B97:C97"/>
    <mergeCell ref="B98:C98"/>
    <mergeCell ref="B99:C99"/>
    <mergeCell ref="B100:C100"/>
    <mergeCell ref="B101:C101"/>
    <mergeCell ref="B102:C102"/>
    <mergeCell ref="A106:C106"/>
    <mergeCell ref="A107:D107"/>
    <mergeCell ref="A108:D108"/>
    <mergeCell ref="B109:C109"/>
    <mergeCell ref="B110:C110"/>
    <mergeCell ref="A111:C111"/>
    <mergeCell ref="A112:D112"/>
    <mergeCell ref="A113:D113"/>
    <mergeCell ref="B114:C114"/>
    <mergeCell ref="B115:C115"/>
    <mergeCell ref="B116:C116"/>
    <mergeCell ref="A117:C117"/>
    <mergeCell ref="A118:D118"/>
    <mergeCell ref="A119:D119"/>
    <mergeCell ref="B120:C120"/>
    <mergeCell ref="B121:C121"/>
    <mergeCell ref="B122:C122"/>
    <mergeCell ref="B123:C123"/>
    <mergeCell ref="B124:C124"/>
    <mergeCell ref="B125:C125"/>
    <mergeCell ref="A126:C126"/>
    <mergeCell ref="A127:D127"/>
    <mergeCell ref="A128:D128"/>
    <mergeCell ref="A131:D131"/>
    <mergeCell ref="A133:D133"/>
    <mergeCell ref="A135:D135"/>
    <mergeCell ref="A136:A141"/>
    <mergeCell ref="C140:C141"/>
    <mergeCell ref="D140:D141"/>
    <mergeCell ref="A142:C142"/>
    <mergeCell ref="A143:D143"/>
    <mergeCell ref="A144:D144"/>
    <mergeCell ref="B145:C145"/>
    <mergeCell ref="B146:C146"/>
    <mergeCell ref="B147:C147"/>
    <mergeCell ref="B148:C148"/>
    <mergeCell ref="B149:C149"/>
    <mergeCell ref="B150:C150"/>
    <mergeCell ref="A151:C151"/>
    <mergeCell ref="B152:C152"/>
    <mergeCell ref="B153:C153"/>
    <mergeCell ref="A154:C154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false"/>
  </sheetPr>
  <dimension ref="A1:D1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53" activeCellId="0" sqref="D153"/>
    </sheetView>
  </sheetViews>
  <sheetFormatPr defaultRowHeight="1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61.31"/>
    <col collapsed="false" customWidth="true" hidden="false" outlineLevel="0" max="3" min="3" style="0" width="14.57"/>
    <col collapsed="false" customWidth="true" hidden="false" outlineLevel="0" max="4" min="4" style="0" width="34"/>
    <col collapsed="false" customWidth="true" hidden="false" outlineLevel="0" max="1025" min="5" style="0" width="14.43"/>
  </cols>
  <sheetData>
    <row r="1" customFormat="false" ht="18" hidden="false" customHeight="false" outlineLevel="0" collapsed="false">
      <c r="A1" s="51" t="s">
        <v>207</v>
      </c>
      <c r="B1" s="51"/>
      <c r="C1" s="51"/>
      <c r="D1" s="51"/>
    </row>
    <row r="2" customFormat="false" ht="12.75" hidden="false" customHeight="false" outlineLevel="0" collapsed="false">
      <c r="A2" s="52" t="s">
        <v>370</v>
      </c>
      <c r="B2" s="52"/>
      <c r="C2" s="52"/>
      <c r="D2" s="52"/>
    </row>
    <row r="3" customFormat="false" ht="12.75" hidden="false" customHeight="true" outlineLevel="0" collapsed="false">
      <c r="A3" s="53"/>
      <c r="B3" s="53"/>
      <c r="C3" s="53"/>
      <c r="D3" s="53"/>
    </row>
    <row r="4" customFormat="false" ht="12.75" hidden="false" customHeight="true" outlineLevel="0" collapsed="false">
      <c r="A4" s="54" t="s">
        <v>362</v>
      </c>
      <c r="B4" s="54"/>
      <c r="C4" s="54"/>
      <c r="D4" s="54"/>
    </row>
    <row r="5" customFormat="false" ht="12.75" hidden="false" customHeight="true" outlineLevel="0" collapsed="false">
      <c r="A5" s="54" t="s">
        <v>363</v>
      </c>
      <c r="B5" s="54"/>
      <c r="C5" s="54"/>
      <c r="D5" s="54"/>
    </row>
    <row r="6" customFormat="false" ht="12.75" hidden="false" customHeight="true" outlineLevel="0" collapsed="false">
      <c r="A6" s="55" t="s">
        <v>364</v>
      </c>
      <c r="B6" s="55"/>
      <c r="C6" s="55"/>
      <c r="D6" s="55"/>
    </row>
    <row r="7" customFormat="false" ht="12.75" hidden="false" customHeight="true" outlineLevel="0" collapsed="false">
      <c r="A7" s="55"/>
      <c r="B7" s="55"/>
      <c r="C7" s="55"/>
      <c r="D7" s="55"/>
    </row>
    <row r="8" customFormat="false" ht="12.75" hidden="false" customHeight="true" outlineLevel="0" collapsed="false">
      <c r="A8" s="56"/>
      <c r="B8" s="56"/>
      <c r="C8" s="56"/>
      <c r="D8" s="56"/>
    </row>
    <row r="9" customFormat="false" ht="13.5" hidden="false" customHeight="true" outlineLevel="0" collapsed="false">
      <c r="A9" s="57" t="s">
        <v>211</v>
      </c>
      <c r="B9" s="57"/>
      <c r="C9" s="57"/>
      <c r="D9" s="57"/>
    </row>
    <row r="10" customFormat="false" ht="12.75" hidden="false" customHeight="true" outlineLevel="0" collapsed="false">
      <c r="A10" s="58" t="s">
        <v>212</v>
      </c>
      <c r="B10" s="58" t="s">
        <v>213</v>
      </c>
      <c r="C10" s="58"/>
      <c r="D10" s="58"/>
    </row>
    <row r="11" customFormat="false" ht="12.75" hidden="false" customHeight="true" outlineLevel="0" collapsed="false">
      <c r="A11" s="58" t="s">
        <v>214</v>
      </c>
      <c r="B11" s="58" t="s">
        <v>215</v>
      </c>
      <c r="C11" s="58"/>
      <c r="D11" s="58" t="s">
        <v>216</v>
      </c>
    </row>
    <row r="12" customFormat="false" ht="12.75" hidden="false" customHeight="true" outlineLevel="0" collapsed="false">
      <c r="A12" s="58" t="s">
        <v>217</v>
      </c>
      <c r="B12" s="58" t="s">
        <v>218</v>
      </c>
      <c r="C12" s="58"/>
      <c r="D12" s="58" t="s">
        <v>219</v>
      </c>
    </row>
    <row r="13" customFormat="false" ht="12.75" hidden="false" customHeight="true" outlineLevel="0" collapsed="false">
      <c r="A13" s="58" t="s">
        <v>220</v>
      </c>
      <c r="B13" s="58" t="s">
        <v>365</v>
      </c>
      <c r="C13" s="58"/>
      <c r="D13" s="58" t="n">
        <v>12</v>
      </c>
    </row>
    <row r="14" customFormat="false" ht="12.75" hidden="false" customHeight="true" outlineLevel="0" collapsed="false">
      <c r="A14" s="59"/>
      <c r="B14" s="59"/>
      <c r="C14" s="59"/>
      <c r="D14" s="59"/>
    </row>
    <row r="15" customFormat="false" ht="12.75" hidden="false" customHeight="true" outlineLevel="0" collapsed="false">
      <c r="A15" s="61" t="s">
        <v>222</v>
      </c>
      <c r="B15" s="61"/>
      <c r="C15" s="61"/>
      <c r="D15" s="61"/>
    </row>
    <row r="16" customFormat="false" ht="12.75" hidden="false" customHeight="true" outlineLevel="0" collapsed="false">
      <c r="A16" s="60" t="s">
        <v>223</v>
      </c>
      <c r="B16" s="60"/>
      <c r="C16" s="60"/>
      <c r="D16" s="60"/>
    </row>
    <row r="17" customFormat="false" ht="12.75" hidden="false" customHeight="true" outlineLevel="0" collapsed="false">
      <c r="A17" s="58" t="s">
        <v>224</v>
      </c>
      <c r="B17" s="58"/>
      <c r="C17" s="58"/>
      <c r="D17" s="58"/>
    </row>
    <row r="18" customFormat="false" ht="12.75" hidden="false" customHeight="true" outlineLevel="0" collapsed="false">
      <c r="A18" s="59"/>
      <c r="B18" s="59"/>
      <c r="C18" s="59"/>
      <c r="D18" s="59"/>
    </row>
    <row r="19" customFormat="false" ht="18" hidden="false" customHeight="false" outlineLevel="0" collapsed="false">
      <c r="A19" s="51" t="s">
        <v>225</v>
      </c>
      <c r="B19" s="51"/>
      <c r="C19" s="51"/>
      <c r="D19" s="51"/>
    </row>
    <row r="20" customFormat="false" ht="12.75" hidden="false" customHeight="true" outlineLevel="0" collapsed="false">
      <c r="A20" s="61" t="s">
        <v>226</v>
      </c>
      <c r="B20" s="61"/>
      <c r="C20" s="61"/>
      <c r="D20" s="61"/>
    </row>
    <row r="21" customFormat="false" ht="15.75" hidden="false" customHeight="true" outlineLevel="0" collapsed="false">
      <c r="A21" s="60" t="s">
        <v>227</v>
      </c>
      <c r="B21" s="60"/>
      <c r="C21" s="60"/>
      <c r="D21" s="60"/>
    </row>
    <row r="22" customFormat="false" ht="23.25" hidden="false" customHeight="true" outlineLevel="0" collapsed="false">
      <c r="A22" s="58" t="n">
        <v>1</v>
      </c>
      <c r="B22" s="62" t="s">
        <v>228</v>
      </c>
      <c r="C22" s="62"/>
      <c r="D22" s="58" t="str">
        <f aca="false">A17</f>
        <v>Limpeza e Conservação</v>
      </c>
    </row>
    <row r="23" customFormat="false" ht="12.75" hidden="false" customHeight="true" outlineLevel="0" collapsed="false">
      <c r="A23" s="58" t="n">
        <v>2</v>
      </c>
      <c r="B23" s="62" t="s">
        <v>229</v>
      </c>
      <c r="C23" s="62"/>
      <c r="D23" s="58" t="s">
        <v>230</v>
      </c>
    </row>
    <row r="24" customFormat="false" ht="12.75" hidden="false" customHeight="true" outlineLevel="0" collapsed="false">
      <c r="A24" s="58" t="n">
        <v>2</v>
      </c>
      <c r="B24" s="62" t="s">
        <v>231</v>
      </c>
      <c r="C24" s="62"/>
      <c r="D24" s="63" t="n">
        <v>1198.09</v>
      </c>
    </row>
    <row r="25" customFormat="false" ht="12.75" hidden="false" customHeight="true" outlineLevel="0" collapsed="false">
      <c r="A25" s="58" t="n">
        <v>3</v>
      </c>
      <c r="B25" s="62" t="s">
        <v>232</v>
      </c>
      <c r="C25" s="62"/>
      <c r="D25" s="58" t="str">
        <f aca="false">A2</f>
        <v>SERVENTE DE LIMPEZA  (44 HORAS de segunda a sábado) LÍDER DE EQUIPE</v>
      </c>
    </row>
    <row r="26" customFormat="false" ht="12.75" hidden="false" customHeight="true" outlineLevel="0" collapsed="false">
      <c r="A26" s="58" t="n">
        <v>4</v>
      </c>
      <c r="B26" s="62" t="s">
        <v>233</v>
      </c>
      <c r="C26" s="62"/>
      <c r="D26" s="64" t="n">
        <v>44197</v>
      </c>
    </row>
    <row r="27" customFormat="false" ht="12.75" hidden="false" customHeight="true" outlineLevel="0" collapsed="false">
      <c r="A27" s="59"/>
      <c r="B27" s="59"/>
      <c r="C27" s="59"/>
      <c r="D27" s="59"/>
    </row>
    <row r="28" customFormat="false" ht="12.75" hidden="false" customHeight="true" outlineLevel="0" collapsed="false">
      <c r="A28" s="65" t="s">
        <v>234</v>
      </c>
      <c r="B28" s="65"/>
      <c r="C28" s="65"/>
      <c r="D28" s="65"/>
    </row>
    <row r="29" customFormat="false" ht="12.75" hidden="false" customHeight="true" outlineLevel="0" collapsed="false">
      <c r="A29" s="60" t="n">
        <v>1</v>
      </c>
      <c r="B29" s="60" t="s">
        <v>235</v>
      </c>
      <c r="C29" s="60"/>
      <c r="D29" s="60" t="s">
        <v>236</v>
      </c>
    </row>
    <row r="30" customFormat="false" ht="12.75" hidden="false" customHeight="true" outlineLevel="0" collapsed="false">
      <c r="A30" s="58" t="s">
        <v>212</v>
      </c>
      <c r="B30" s="62" t="s">
        <v>237</v>
      </c>
      <c r="C30" s="62"/>
      <c r="D30" s="66" t="n">
        <v>1198.09</v>
      </c>
    </row>
    <row r="31" customFormat="false" ht="12.75" hidden="false" customHeight="true" outlineLevel="0" collapsed="false">
      <c r="A31" s="58" t="s">
        <v>214</v>
      </c>
      <c r="B31" s="62" t="s">
        <v>238</v>
      </c>
      <c r="C31" s="62"/>
      <c r="D31" s="67" t="n">
        <v>0</v>
      </c>
    </row>
    <row r="32" customFormat="false" ht="18" hidden="false" customHeight="true" outlineLevel="0" collapsed="false">
      <c r="A32" s="58" t="s">
        <v>217</v>
      </c>
      <c r="B32" s="62" t="s">
        <v>366</v>
      </c>
      <c r="C32" s="62"/>
      <c r="D32" s="67" t="n">
        <v>0</v>
      </c>
    </row>
    <row r="33" customFormat="false" ht="36.75" hidden="false" customHeight="true" outlineLevel="0" collapsed="false">
      <c r="A33" s="58" t="s">
        <v>220</v>
      </c>
      <c r="B33" s="62" t="s">
        <v>240</v>
      </c>
      <c r="C33" s="62"/>
      <c r="D33" s="67" t="n">
        <v>0</v>
      </c>
    </row>
    <row r="34" customFormat="false" ht="24.75" hidden="false" customHeight="true" outlineLevel="0" collapsed="false">
      <c r="A34" s="58" t="s">
        <v>241</v>
      </c>
      <c r="B34" s="62" t="s">
        <v>242</v>
      </c>
      <c r="C34" s="62"/>
      <c r="D34" s="67" t="n">
        <v>0</v>
      </c>
    </row>
    <row r="35" customFormat="false" ht="32.25" hidden="false" customHeight="true" outlineLevel="0" collapsed="false">
      <c r="A35" s="58" t="s">
        <v>243</v>
      </c>
      <c r="B35" s="62" t="s">
        <v>244</v>
      </c>
      <c r="C35" s="62"/>
      <c r="D35" s="67" t="n">
        <v>0</v>
      </c>
    </row>
    <row r="36" customFormat="false" ht="26.25" hidden="false" customHeight="true" outlineLevel="0" collapsed="false">
      <c r="A36" s="58" t="s">
        <v>245</v>
      </c>
      <c r="B36" s="62" t="s">
        <v>246</v>
      </c>
      <c r="C36" s="62"/>
      <c r="D36" s="67" t="n">
        <v>0</v>
      </c>
    </row>
    <row r="37" customFormat="false" ht="12.75" hidden="false" customHeight="true" outlineLevel="0" collapsed="false">
      <c r="A37" s="58" t="s">
        <v>247</v>
      </c>
      <c r="B37" s="62" t="s">
        <v>248</v>
      </c>
      <c r="C37" s="62"/>
      <c r="D37" s="66" t="n">
        <v>46.16</v>
      </c>
    </row>
    <row r="38" customFormat="false" ht="12.75" hidden="false" customHeight="true" outlineLevel="0" collapsed="false">
      <c r="A38" s="58" t="s">
        <v>249</v>
      </c>
      <c r="B38" s="62" t="s">
        <v>371</v>
      </c>
      <c r="C38" s="62"/>
      <c r="D38" s="67" t="n">
        <f aca="false">0.2*D30</f>
        <v>239.618</v>
      </c>
    </row>
    <row r="39" customFormat="false" ht="12.75" hidden="false" customHeight="true" outlineLevel="0" collapsed="false">
      <c r="A39" s="68"/>
      <c r="B39" s="60" t="s">
        <v>251</v>
      </c>
      <c r="C39" s="60"/>
      <c r="D39" s="69" t="n">
        <f aca="false">SUM(D30:D38)</f>
        <v>1483.868</v>
      </c>
    </row>
    <row r="40" customFormat="false" ht="12.75" hidden="false" customHeight="true" outlineLevel="0" collapsed="false">
      <c r="A40" s="58" t="s">
        <v>252</v>
      </c>
      <c r="B40" s="58"/>
      <c r="C40" s="58"/>
      <c r="D40" s="58"/>
    </row>
    <row r="41" customFormat="false" ht="12.75" hidden="false" customHeight="true" outlineLevel="0" collapsed="false">
      <c r="A41" s="59"/>
      <c r="B41" s="59"/>
      <c r="C41" s="59"/>
      <c r="D41" s="59"/>
    </row>
    <row r="42" customFormat="false" ht="12.75" hidden="false" customHeight="true" outlineLevel="0" collapsed="false">
      <c r="A42" s="65" t="s">
        <v>253</v>
      </c>
      <c r="B42" s="65"/>
      <c r="C42" s="65"/>
      <c r="D42" s="65"/>
    </row>
    <row r="43" customFormat="false" ht="12.75" hidden="false" customHeight="true" outlineLevel="0" collapsed="false">
      <c r="A43" s="70" t="s">
        <v>254</v>
      </c>
      <c r="B43" s="70"/>
      <c r="C43" s="70"/>
      <c r="D43" s="70"/>
    </row>
    <row r="44" customFormat="false" ht="12.75" hidden="false" customHeight="true" outlineLevel="0" collapsed="false">
      <c r="A44" s="60" t="s">
        <v>255</v>
      </c>
      <c r="B44" s="60" t="s">
        <v>256</v>
      </c>
      <c r="C44" s="60"/>
      <c r="D44" s="60" t="s">
        <v>236</v>
      </c>
    </row>
    <row r="45" customFormat="false" ht="12.75" hidden="false" customHeight="true" outlineLevel="0" collapsed="false">
      <c r="A45" s="58" t="s">
        <v>212</v>
      </c>
      <c r="B45" s="71" t="s">
        <v>257</v>
      </c>
      <c r="C45" s="72" t="s">
        <v>258</v>
      </c>
      <c r="D45" s="67" t="n">
        <f aca="false">D39*0.0833</f>
        <v>123.6062044</v>
      </c>
    </row>
    <row r="46" customFormat="false" ht="12.75" hidden="false" customHeight="true" outlineLevel="0" collapsed="false">
      <c r="A46" s="58" t="s">
        <v>214</v>
      </c>
      <c r="B46" s="71" t="s">
        <v>259</v>
      </c>
      <c r="C46" s="72" t="s">
        <v>258</v>
      </c>
      <c r="D46" s="67" t="n">
        <f aca="false">D39*0.0278</f>
        <v>41.2515304</v>
      </c>
    </row>
    <row r="47" customFormat="false" ht="12.75" hidden="false" customHeight="true" outlineLevel="0" collapsed="false">
      <c r="A47" s="73" t="s">
        <v>260</v>
      </c>
      <c r="B47" s="73"/>
      <c r="C47" s="73"/>
      <c r="D47" s="74" t="n">
        <f aca="false">SUM(D45:D46)</f>
        <v>164.8577348</v>
      </c>
    </row>
    <row r="48" customFormat="false" ht="12.75" hidden="false" customHeight="true" outlineLevel="0" collapsed="false">
      <c r="A48" s="58" t="s">
        <v>217</v>
      </c>
      <c r="B48" s="71" t="s">
        <v>261</v>
      </c>
      <c r="C48" s="72" t="s">
        <v>258</v>
      </c>
      <c r="D48" s="67" t="n">
        <f aca="false">(D45+D46)*C61</f>
        <v>65.6133784504</v>
      </c>
    </row>
    <row r="49" customFormat="false" ht="12.75" hidden="false" customHeight="true" outlineLevel="0" collapsed="false">
      <c r="A49" s="60" t="s">
        <v>262</v>
      </c>
      <c r="B49" s="60"/>
      <c r="C49" s="60"/>
      <c r="D49" s="69" t="n">
        <f aca="false">D47+D48</f>
        <v>230.4711132504</v>
      </c>
    </row>
    <row r="50" customFormat="false" ht="54.75" hidden="false" customHeight="true" outlineLevel="0" collapsed="false">
      <c r="A50" s="80" t="s">
        <v>263</v>
      </c>
      <c r="B50" s="80"/>
      <c r="C50" s="80"/>
      <c r="D50" s="80"/>
    </row>
    <row r="51" customFormat="false" ht="12.75" hidden="false" customHeight="true" outlineLevel="0" collapsed="false">
      <c r="A51" s="61" t="s">
        <v>264</v>
      </c>
      <c r="B51" s="61"/>
      <c r="C51" s="61"/>
      <c r="D51" s="61"/>
    </row>
    <row r="52" customFormat="false" ht="12.75" hidden="false" customHeight="true" outlineLevel="0" collapsed="false">
      <c r="A52" s="60" t="s">
        <v>265</v>
      </c>
      <c r="B52" s="81" t="s">
        <v>266</v>
      </c>
      <c r="C52" s="60" t="s">
        <v>267</v>
      </c>
      <c r="D52" s="60" t="s">
        <v>236</v>
      </c>
    </row>
    <row r="53" customFormat="false" ht="12.75" hidden="false" customHeight="true" outlineLevel="0" collapsed="false">
      <c r="A53" s="58" t="s">
        <v>212</v>
      </c>
      <c r="B53" s="71" t="s">
        <v>268</v>
      </c>
      <c r="C53" s="82" t="n">
        <v>0.2</v>
      </c>
      <c r="D53" s="67" t="n">
        <f aca="false">C53*$D$39</f>
        <v>296.7736</v>
      </c>
    </row>
    <row r="54" customFormat="false" ht="12.75" hidden="false" customHeight="true" outlineLevel="0" collapsed="false">
      <c r="A54" s="58" t="s">
        <v>214</v>
      </c>
      <c r="B54" s="71" t="s">
        <v>269</v>
      </c>
      <c r="C54" s="82" t="n">
        <v>0.025</v>
      </c>
      <c r="D54" s="67" t="n">
        <f aca="false">C54*$D$39</f>
        <v>37.0967</v>
      </c>
    </row>
    <row r="55" customFormat="false" ht="12.75" hidden="false" customHeight="true" outlineLevel="0" collapsed="false">
      <c r="A55" s="58" t="s">
        <v>217</v>
      </c>
      <c r="B55" s="71" t="s">
        <v>270</v>
      </c>
      <c r="C55" s="82" t="n">
        <v>0.06</v>
      </c>
      <c r="D55" s="67" t="n">
        <f aca="false">C55*$D$39</f>
        <v>89.03208</v>
      </c>
    </row>
    <row r="56" customFormat="false" ht="12.75" hidden="false" customHeight="true" outlineLevel="0" collapsed="false">
      <c r="A56" s="58" t="s">
        <v>220</v>
      </c>
      <c r="B56" s="71" t="s">
        <v>271</v>
      </c>
      <c r="C56" s="82" t="n">
        <v>0.015</v>
      </c>
      <c r="D56" s="67" t="n">
        <f aca="false">C56*$D$39</f>
        <v>22.25802</v>
      </c>
    </row>
    <row r="57" customFormat="false" ht="12.75" hidden="false" customHeight="true" outlineLevel="0" collapsed="false">
      <c r="A57" s="58" t="s">
        <v>241</v>
      </c>
      <c r="B57" s="71" t="s">
        <v>272</v>
      </c>
      <c r="C57" s="82" t="n">
        <v>0.01</v>
      </c>
      <c r="D57" s="67" t="n">
        <f aca="false">C57*$D$39</f>
        <v>14.83868</v>
      </c>
    </row>
    <row r="58" customFormat="false" ht="12.75" hidden="false" customHeight="true" outlineLevel="0" collapsed="false">
      <c r="A58" s="58" t="s">
        <v>243</v>
      </c>
      <c r="B58" s="71" t="s">
        <v>273</v>
      </c>
      <c r="C58" s="82" t="n">
        <v>0.006</v>
      </c>
      <c r="D58" s="67" t="n">
        <f aca="false">C58*$D$39</f>
        <v>8.903208</v>
      </c>
    </row>
    <row r="59" customFormat="false" ht="12.75" hidden="false" customHeight="true" outlineLevel="0" collapsed="false">
      <c r="A59" s="58" t="s">
        <v>245</v>
      </c>
      <c r="B59" s="71" t="s">
        <v>274</v>
      </c>
      <c r="C59" s="82" t="n">
        <v>0.002</v>
      </c>
      <c r="D59" s="67" t="n">
        <f aca="false">C59*$D$39</f>
        <v>2.967736</v>
      </c>
    </row>
    <row r="60" customFormat="false" ht="12.75" hidden="false" customHeight="true" outlineLevel="0" collapsed="false">
      <c r="A60" s="58" t="s">
        <v>247</v>
      </c>
      <c r="B60" s="71" t="s">
        <v>275</v>
      </c>
      <c r="C60" s="82" t="n">
        <v>0.08</v>
      </c>
      <c r="D60" s="67" t="n">
        <f aca="false">C60*$D$39</f>
        <v>118.70944</v>
      </c>
    </row>
    <row r="61" customFormat="false" ht="12.75" hidden="false" customHeight="true" outlineLevel="0" collapsed="false">
      <c r="A61" s="68"/>
      <c r="B61" s="81" t="s">
        <v>276</v>
      </c>
      <c r="C61" s="84" t="n">
        <f aca="false">SUM(C53:C60)</f>
        <v>0.398</v>
      </c>
      <c r="D61" s="69" t="n">
        <f aca="false">SUM(D53:D60)</f>
        <v>590.579464</v>
      </c>
    </row>
    <row r="62" customFormat="false" ht="12.75" hidden="false" customHeight="true" outlineLevel="0" collapsed="false">
      <c r="A62" s="85"/>
      <c r="B62" s="85"/>
      <c r="C62" s="85"/>
      <c r="D62" s="85"/>
    </row>
    <row r="63" customFormat="false" ht="12.75" hidden="false" customHeight="true" outlineLevel="0" collapsed="false">
      <c r="A63" s="70" t="s">
        <v>277</v>
      </c>
      <c r="B63" s="70"/>
      <c r="C63" s="70"/>
      <c r="D63" s="70"/>
    </row>
    <row r="64" customFormat="false" ht="12.75" hidden="false" customHeight="true" outlineLevel="0" collapsed="false">
      <c r="A64" s="60" t="s">
        <v>278</v>
      </c>
      <c r="B64" s="60" t="s">
        <v>279</v>
      </c>
      <c r="C64" s="60"/>
      <c r="D64" s="60" t="s">
        <v>236</v>
      </c>
    </row>
    <row r="65" customFormat="false" ht="12.75" hidden="false" customHeight="true" outlineLevel="0" collapsed="false">
      <c r="A65" s="58" t="s">
        <v>212</v>
      </c>
      <c r="B65" s="62" t="s">
        <v>367</v>
      </c>
      <c r="C65" s="62"/>
      <c r="D65" s="96" t="n">
        <f aca="false">(6*2*25.22)-6%*D30</f>
        <v>230.7546</v>
      </c>
    </row>
    <row r="66" customFormat="false" ht="16.5" hidden="false" customHeight="true" outlineLevel="0" collapsed="false">
      <c r="A66" s="58" t="s">
        <v>214</v>
      </c>
      <c r="B66" s="62" t="s">
        <v>368</v>
      </c>
      <c r="C66" s="62"/>
      <c r="D66" s="66" t="n">
        <f aca="false">(16*21.01)-(16*21.01)*5%</f>
        <v>319.352</v>
      </c>
    </row>
    <row r="67" customFormat="false" ht="24" hidden="false" customHeight="true" outlineLevel="0" collapsed="false">
      <c r="A67" s="58" t="s">
        <v>217</v>
      </c>
      <c r="B67" s="62" t="s">
        <v>282</v>
      </c>
      <c r="C67" s="62"/>
      <c r="D67" s="66" t="n">
        <v>0</v>
      </c>
    </row>
    <row r="68" customFormat="false" ht="16.5" hidden="false" customHeight="true" outlineLevel="0" collapsed="false">
      <c r="A68" s="58" t="s">
        <v>220</v>
      </c>
      <c r="B68" s="62" t="s">
        <v>283</v>
      </c>
      <c r="C68" s="62"/>
      <c r="D68" s="66" t="n">
        <v>0</v>
      </c>
    </row>
    <row r="69" customFormat="false" ht="27" hidden="false" customHeight="true" outlineLevel="0" collapsed="false">
      <c r="A69" s="58" t="s">
        <v>241</v>
      </c>
      <c r="B69" s="62" t="s">
        <v>284</v>
      </c>
      <c r="C69" s="62"/>
      <c r="D69" s="66" t="n">
        <v>49</v>
      </c>
    </row>
    <row r="70" customFormat="false" ht="16.5" hidden="false" customHeight="true" outlineLevel="0" collapsed="false">
      <c r="A70" s="58" t="s">
        <v>243</v>
      </c>
      <c r="B70" s="62" t="s">
        <v>285</v>
      </c>
      <c r="C70" s="62"/>
      <c r="D70" s="66" t="n">
        <v>120</v>
      </c>
    </row>
    <row r="71" customFormat="false" ht="16.5" hidden="false" customHeight="true" outlineLevel="0" collapsed="false">
      <c r="A71" s="58" t="s">
        <v>245</v>
      </c>
      <c r="B71" s="62" t="s">
        <v>286</v>
      </c>
      <c r="C71" s="62"/>
      <c r="D71" s="67" t="n">
        <v>0</v>
      </c>
    </row>
    <row r="72" customFormat="false" ht="16.5" hidden="false" customHeight="true" outlineLevel="0" collapsed="false">
      <c r="A72" s="60" t="s">
        <v>287</v>
      </c>
      <c r="B72" s="60"/>
      <c r="C72" s="60"/>
      <c r="D72" s="69" t="n">
        <f aca="false">SUM(D65:D71)</f>
        <v>719.1066</v>
      </c>
    </row>
    <row r="73" customFormat="false" ht="39.75" hidden="false" customHeight="true" outlineLevel="0" collapsed="false">
      <c r="A73" s="80" t="s">
        <v>288</v>
      </c>
      <c r="B73" s="80"/>
      <c r="C73" s="80"/>
      <c r="D73" s="80"/>
    </row>
    <row r="74" customFormat="false" ht="16.5" hidden="false" customHeight="true" outlineLevel="0" collapsed="false">
      <c r="A74" s="70" t="s">
        <v>289</v>
      </c>
      <c r="B74" s="70"/>
      <c r="C74" s="70"/>
      <c r="D74" s="70"/>
    </row>
    <row r="75" customFormat="false" ht="12.75" hidden="false" customHeight="true" outlineLevel="0" collapsed="false">
      <c r="A75" s="60" t="n">
        <v>2</v>
      </c>
      <c r="B75" s="60" t="s">
        <v>290</v>
      </c>
      <c r="C75" s="60"/>
      <c r="D75" s="60" t="s">
        <v>236</v>
      </c>
    </row>
    <row r="76" customFormat="false" ht="12.75" hidden="false" customHeight="true" outlineLevel="0" collapsed="false">
      <c r="A76" s="58" t="s">
        <v>255</v>
      </c>
      <c r="B76" s="62" t="s">
        <v>256</v>
      </c>
      <c r="C76" s="62"/>
      <c r="D76" s="67" t="n">
        <f aca="false">D49</f>
        <v>230.4711132504</v>
      </c>
    </row>
    <row r="77" customFormat="false" ht="16.5" hidden="false" customHeight="true" outlineLevel="0" collapsed="false">
      <c r="A77" s="58" t="s">
        <v>265</v>
      </c>
      <c r="B77" s="62" t="s">
        <v>266</v>
      </c>
      <c r="C77" s="62"/>
      <c r="D77" s="67" t="n">
        <f aca="false">D61</f>
        <v>590.579464</v>
      </c>
    </row>
    <row r="78" customFormat="false" ht="16.5" hidden="false" customHeight="true" outlineLevel="0" collapsed="false">
      <c r="A78" s="58" t="s">
        <v>278</v>
      </c>
      <c r="B78" s="62" t="s">
        <v>279</v>
      </c>
      <c r="C78" s="62"/>
      <c r="D78" s="67" t="n">
        <f aca="false">D72</f>
        <v>719.1066</v>
      </c>
    </row>
    <row r="79" customFormat="false" ht="16.5" hidden="false" customHeight="true" outlineLevel="0" collapsed="false">
      <c r="A79" s="60" t="s">
        <v>291</v>
      </c>
      <c r="B79" s="60"/>
      <c r="C79" s="60"/>
      <c r="D79" s="69" t="n">
        <f aca="false">SUM(D76:D78)</f>
        <v>1540.1571772504</v>
      </c>
    </row>
    <row r="80" customFormat="false" ht="12.75" hidden="false" customHeight="true" outlineLevel="0" collapsed="false">
      <c r="A80" s="85"/>
      <c r="B80" s="85"/>
      <c r="C80" s="85"/>
      <c r="D80" s="85"/>
    </row>
    <row r="81" customFormat="false" ht="16.5" hidden="false" customHeight="true" outlineLevel="0" collapsed="false">
      <c r="A81" s="65" t="s">
        <v>292</v>
      </c>
      <c r="B81" s="65"/>
      <c r="C81" s="65"/>
      <c r="D81" s="65"/>
    </row>
    <row r="82" customFormat="false" ht="12.75" hidden="false" customHeight="true" outlineLevel="0" collapsed="false">
      <c r="A82" s="60" t="n">
        <v>3</v>
      </c>
      <c r="B82" s="60" t="s">
        <v>293</v>
      </c>
      <c r="C82" s="60"/>
      <c r="D82" s="60" t="s">
        <v>236</v>
      </c>
    </row>
    <row r="83" customFormat="false" ht="66.75" hidden="false" customHeight="true" outlineLevel="0" collapsed="false">
      <c r="A83" s="58" t="s">
        <v>212</v>
      </c>
      <c r="B83" s="62" t="s">
        <v>294</v>
      </c>
      <c r="C83" s="62"/>
      <c r="D83" s="67" t="n">
        <f aca="false">ROUND((($D$39/12)+($D$45/12)+($D$39/12/12)+($D$46/12))*(30/30)*0.05,2)</f>
        <v>7.38</v>
      </c>
    </row>
    <row r="84" customFormat="false" ht="26.25" hidden="false" customHeight="true" outlineLevel="0" collapsed="false">
      <c r="A84" s="58" t="s">
        <v>214</v>
      </c>
      <c r="B84" s="62" t="s">
        <v>295</v>
      </c>
      <c r="C84" s="62"/>
      <c r="D84" s="67" t="n">
        <f aca="false">(D83*C60)</f>
        <v>0.5904</v>
      </c>
    </row>
    <row r="85" customFormat="false" ht="12.75" hidden="false" customHeight="true" outlineLevel="0" collapsed="false">
      <c r="A85" s="58" t="s">
        <v>217</v>
      </c>
      <c r="B85" s="62" t="s">
        <v>296</v>
      </c>
      <c r="C85" s="72" t="s">
        <v>258</v>
      </c>
      <c r="D85" s="67" t="n">
        <f aca="false">ROUND(0.08*0.4*($D$39+$D$45+$D$46+$D$96)*0.05,2)</f>
        <v>2.87</v>
      </c>
    </row>
    <row r="86" customFormat="false" ht="26.25" hidden="false" customHeight="true" outlineLevel="0" collapsed="false">
      <c r="A86" s="58" t="s">
        <v>220</v>
      </c>
      <c r="B86" s="97" t="e">
        <f aca="false">#REF!</f>
        <v>#REF!</v>
      </c>
      <c r="C86" s="97"/>
      <c r="D86" s="67" t="n">
        <f aca="false">D39*0.0194</f>
        <v>28.7870392</v>
      </c>
    </row>
    <row r="87" customFormat="false" ht="30.75" hidden="false" customHeight="true" outlineLevel="0" collapsed="false">
      <c r="A87" s="58" t="s">
        <v>241</v>
      </c>
      <c r="B87" s="62" t="s">
        <v>298</v>
      </c>
      <c r="C87" s="62"/>
      <c r="D87" s="67" t="n">
        <f aca="false">D86*C61</f>
        <v>11.4572416016</v>
      </c>
    </row>
    <row r="88" customFormat="false" ht="30.75" hidden="false" customHeight="true" outlineLevel="0" collapsed="false">
      <c r="A88" s="58" t="s">
        <v>243</v>
      </c>
      <c r="B88" s="62" t="s">
        <v>369</v>
      </c>
      <c r="C88" s="72" t="s">
        <v>258</v>
      </c>
      <c r="D88" s="67" t="n">
        <f aca="false">ROUND(0.08*0.4*($D$39+$D$45+$D$46+$D$96)*1,2)</f>
        <v>57.48</v>
      </c>
    </row>
    <row r="89" customFormat="false" ht="12.75" hidden="false" customHeight="true" outlineLevel="0" collapsed="false">
      <c r="A89" s="60" t="s">
        <v>300</v>
      </c>
      <c r="B89" s="60"/>
      <c r="C89" s="60"/>
      <c r="D89" s="69" t="n">
        <f aca="false">SUM(D83+D84+D85+D86+D87+D88)</f>
        <v>108.5646808016</v>
      </c>
    </row>
    <row r="90" customFormat="false" ht="12.75" hidden="false" customHeight="true" outlineLevel="0" collapsed="false">
      <c r="A90" s="85"/>
      <c r="B90" s="85"/>
      <c r="C90" s="85"/>
      <c r="D90" s="85"/>
    </row>
    <row r="91" customFormat="false" ht="16.5" hidden="false" customHeight="true" outlineLevel="0" collapsed="false">
      <c r="A91" s="65" t="s">
        <v>301</v>
      </c>
      <c r="B91" s="65"/>
      <c r="C91" s="65"/>
      <c r="D91" s="65"/>
    </row>
    <row r="92" customFormat="false" ht="39.75" hidden="false" customHeight="true" outlineLevel="0" collapsed="false">
      <c r="A92" s="80" t="s">
        <v>302</v>
      </c>
      <c r="B92" s="80"/>
      <c r="C92" s="80"/>
      <c r="D92" s="80"/>
    </row>
    <row r="93" customFormat="false" ht="48.75" hidden="false" customHeight="true" outlineLevel="0" collapsed="false">
      <c r="A93" s="73" t="s">
        <v>303</v>
      </c>
      <c r="B93" s="73"/>
      <c r="C93" s="73"/>
      <c r="D93" s="88" t="n">
        <f aca="false">ROUND(D39/12,2)+D39+D45+D46</f>
        <v>1772.3857348</v>
      </c>
    </row>
    <row r="94" customFormat="false" ht="12.75" hidden="false" customHeight="true" outlineLevel="0" collapsed="false">
      <c r="A94" s="61" t="s">
        <v>304</v>
      </c>
      <c r="B94" s="61"/>
      <c r="C94" s="61"/>
      <c r="D94" s="61"/>
    </row>
    <row r="95" customFormat="false" ht="12.75" hidden="false" customHeight="true" outlineLevel="0" collapsed="false">
      <c r="A95" s="60" t="s">
        <v>305</v>
      </c>
      <c r="B95" s="60" t="s">
        <v>306</v>
      </c>
      <c r="C95" s="60"/>
      <c r="D95" s="60" t="s">
        <v>236</v>
      </c>
    </row>
    <row r="96" customFormat="false" ht="12.75" hidden="false" customHeight="true" outlineLevel="0" collapsed="false">
      <c r="A96" s="58" t="s">
        <v>212</v>
      </c>
      <c r="B96" s="62" t="s">
        <v>307</v>
      </c>
      <c r="C96" s="62"/>
      <c r="D96" s="67" t="n">
        <f aca="false">D93*0.0833</f>
        <v>147.63973170884</v>
      </c>
    </row>
    <row r="97" customFormat="false" ht="16.5" hidden="false" customHeight="true" outlineLevel="0" collapsed="false">
      <c r="A97" s="58" t="s">
        <v>214</v>
      </c>
      <c r="B97" s="62" t="s">
        <v>308</v>
      </c>
      <c r="C97" s="62"/>
      <c r="D97" s="67" t="n">
        <f aca="false">($D$93/30/12)*1</f>
        <v>4.92329370777778</v>
      </c>
    </row>
    <row r="98" customFormat="false" ht="16.5" hidden="false" customHeight="true" outlineLevel="0" collapsed="false">
      <c r="A98" s="58" t="s">
        <v>217</v>
      </c>
      <c r="B98" s="62" t="s">
        <v>309</v>
      </c>
      <c r="C98" s="62"/>
      <c r="D98" s="67" t="n">
        <f aca="false">(($D$93/30/12)*5)*0.015</f>
        <v>0.369247028083333</v>
      </c>
    </row>
    <row r="99" customFormat="false" ht="16.5" hidden="false" customHeight="true" outlineLevel="0" collapsed="false">
      <c r="A99" s="58" t="s">
        <v>220</v>
      </c>
      <c r="B99" s="62" t="s">
        <v>310</v>
      </c>
      <c r="C99" s="62"/>
      <c r="D99" s="67" t="n">
        <f aca="false">(($D$93/30/12)*30)*0.08</f>
        <v>11.8159048986667</v>
      </c>
    </row>
    <row r="100" customFormat="false" ht="16.5" hidden="false" customHeight="true" outlineLevel="0" collapsed="false">
      <c r="A100" s="58" t="s">
        <v>241</v>
      </c>
      <c r="B100" s="62" t="s">
        <v>311</v>
      </c>
      <c r="C100" s="62"/>
      <c r="D100" s="67" t="n">
        <f aca="false">(($D$93/30/12)*5)*0.4</f>
        <v>9.84658741555556</v>
      </c>
    </row>
    <row r="101" customFormat="false" ht="24.75" hidden="false" customHeight="true" outlineLevel="0" collapsed="false">
      <c r="A101" s="58" t="s">
        <v>243</v>
      </c>
      <c r="B101" s="62" t="s">
        <v>312</v>
      </c>
      <c r="C101" s="62"/>
      <c r="D101" s="66" t="n">
        <f aca="false">(D96+D97+D98+D99+D100)*C61</f>
        <v>69.4887163740515</v>
      </c>
    </row>
    <row r="102" customFormat="false" ht="41.25" hidden="false" customHeight="true" outlineLevel="0" collapsed="false">
      <c r="A102" s="58" t="s">
        <v>245</v>
      </c>
      <c r="B102" s="62" t="s">
        <v>313</v>
      </c>
      <c r="C102" s="72" t="s">
        <v>258</v>
      </c>
      <c r="D102" s="67" t="n">
        <f aca="false">(((D39+(D39/3))*(4/12))/12)*0.02</f>
        <v>1.09916148148148</v>
      </c>
    </row>
    <row r="103" customFormat="false" ht="46.5" hidden="false" customHeight="true" outlineLevel="0" collapsed="false">
      <c r="A103" s="58" t="s">
        <v>247</v>
      </c>
      <c r="B103" s="62" t="s">
        <v>314</v>
      </c>
      <c r="C103" s="72" t="s">
        <v>258</v>
      </c>
      <c r="D103" s="67" t="n">
        <f aca="false">D102*C61</f>
        <v>0.43746626962963</v>
      </c>
    </row>
    <row r="104" customFormat="false" ht="39" hidden="false" customHeight="true" outlineLevel="0" collapsed="false">
      <c r="A104" s="58" t="s">
        <v>249</v>
      </c>
      <c r="B104" s="62" t="s">
        <v>315</v>
      </c>
      <c r="C104" s="72" t="s">
        <v>258</v>
      </c>
      <c r="D104" s="67" t="n">
        <f aca="false">(((D39+(D39/12))*(4/12))*0.02)*C61</f>
        <v>4.26529612888889</v>
      </c>
    </row>
    <row r="105" customFormat="false" ht="12.75" hidden="false" customHeight="true" outlineLevel="0" collapsed="false">
      <c r="A105" s="60" t="s">
        <v>316</v>
      </c>
      <c r="B105" s="60"/>
      <c r="C105" s="60"/>
      <c r="D105" s="69" t="n">
        <f aca="false">SUM(D96:D104)</f>
        <v>249.885405012975</v>
      </c>
    </row>
    <row r="106" customFormat="false" ht="12.75" hidden="false" customHeight="true" outlineLevel="0" collapsed="false">
      <c r="A106" s="85"/>
      <c r="B106" s="85"/>
      <c r="C106" s="85"/>
      <c r="D106" s="85"/>
    </row>
    <row r="107" customFormat="false" ht="16.5" hidden="false" customHeight="true" outlineLevel="0" collapsed="false">
      <c r="A107" s="70" t="s">
        <v>317</v>
      </c>
      <c r="B107" s="70"/>
      <c r="C107" s="70"/>
      <c r="D107" s="70"/>
    </row>
    <row r="108" customFormat="false" ht="12.75" hidden="false" customHeight="true" outlineLevel="0" collapsed="false">
      <c r="A108" s="60" t="s">
        <v>318</v>
      </c>
      <c r="B108" s="60" t="s">
        <v>319</v>
      </c>
      <c r="C108" s="60"/>
      <c r="D108" s="60" t="s">
        <v>236</v>
      </c>
    </row>
    <row r="109" customFormat="false" ht="12.75" hidden="false" customHeight="true" outlineLevel="0" collapsed="false">
      <c r="A109" s="58" t="s">
        <v>212</v>
      </c>
      <c r="B109" s="62" t="s">
        <v>320</v>
      </c>
      <c r="C109" s="62"/>
      <c r="D109" s="67" t="n">
        <v>0</v>
      </c>
    </row>
    <row r="110" customFormat="false" ht="12.75" hidden="false" customHeight="true" outlineLevel="0" collapsed="false">
      <c r="A110" s="60" t="s">
        <v>321</v>
      </c>
      <c r="B110" s="60"/>
      <c r="C110" s="60"/>
      <c r="D110" s="69" t="n">
        <f aca="false">SUM(D109)</f>
        <v>0</v>
      </c>
    </row>
    <row r="111" customFormat="false" ht="12.75" hidden="false" customHeight="true" outlineLevel="0" collapsed="false">
      <c r="A111" s="85"/>
      <c r="B111" s="85"/>
      <c r="C111" s="85"/>
      <c r="D111" s="85"/>
    </row>
    <row r="112" customFormat="false" ht="15.75" hidden="false" customHeight="true" outlineLevel="0" collapsed="false">
      <c r="A112" s="70" t="s">
        <v>322</v>
      </c>
      <c r="B112" s="70"/>
      <c r="C112" s="70"/>
      <c r="D112" s="70"/>
    </row>
    <row r="113" customFormat="false" ht="12.75" hidden="false" customHeight="true" outlineLevel="0" collapsed="false">
      <c r="A113" s="60" t="n">
        <v>4</v>
      </c>
      <c r="B113" s="60" t="s">
        <v>290</v>
      </c>
      <c r="C113" s="60"/>
      <c r="D113" s="60" t="s">
        <v>236</v>
      </c>
    </row>
    <row r="114" customFormat="false" ht="12.75" hidden="false" customHeight="true" outlineLevel="0" collapsed="false">
      <c r="A114" s="58" t="s">
        <v>305</v>
      </c>
      <c r="B114" s="62" t="s">
        <v>323</v>
      </c>
      <c r="C114" s="62"/>
      <c r="D114" s="67" t="n">
        <f aca="false">D105</f>
        <v>249.885405012975</v>
      </c>
    </row>
    <row r="115" customFormat="false" ht="16.5" hidden="false" customHeight="true" outlineLevel="0" collapsed="false">
      <c r="A115" s="58" t="s">
        <v>318</v>
      </c>
      <c r="B115" s="62" t="s">
        <v>319</v>
      </c>
      <c r="C115" s="62"/>
      <c r="D115" s="67" t="n">
        <f aca="false">D110</f>
        <v>0</v>
      </c>
    </row>
    <row r="116" customFormat="false" ht="16.5" hidden="false" customHeight="true" outlineLevel="0" collapsed="false">
      <c r="A116" s="60" t="s">
        <v>291</v>
      </c>
      <c r="B116" s="60"/>
      <c r="C116" s="60"/>
      <c r="D116" s="69" t="n">
        <f aca="false">D114+D115</f>
        <v>249.885405012975</v>
      </c>
    </row>
    <row r="117" customFormat="false" ht="12.75" hidden="false" customHeight="true" outlineLevel="0" collapsed="false">
      <c r="A117" s="85"/>
      <c r="B117" s="85"/>
      <c r="C117" s="85"/>
      <c r="D117" s="85"/>
    </row>
    <row r="118" customFormat="false" ht="12.75" hidden="false" customHeight="true" outlineLevel="0" collapsed="false">
      <c r="A118" s="65" t="s">
        <v>324</v>
      </c>
      <c r="B118" s="65"/>
      <c r="C118" s="65"/>
      <c r="D118" s="65"/>
    </row>
    <row r="119" customFormat="false" ht="12.75" hidden="false" customHeight="true" outlineLevel="0" collapsed="false">
      <c r="A119" s="60" t="n">
        <v>5</v>
      </c>
      <c r="B119" s="60" t="s">
        <v>325</v>
      </c>
      <c r="C119" s="60"/>
      <c r="D119" s="60" t="s">
        <v>236</v>
      </c>
    </row>
    <row r="120" customFormat="false" ht="35.25" hidden="false" customHeight="true" outlineLevel="0" collapsed="false">
      <c r="A120" s="58" t="s">
        <v>212</v>
      </c>
      <c r="B120" s="89" t="s">
        <v>326</v>
      </c>
      <c r="C120" s="89"/>
      <c r="D120" s="67" t="n">
        <f aca="false">'EPI e uniformes'!F11</f>
        <v>11.7095456892355</v>
      </c>
    </row>
    <row r="121" customFormat="false" ht="38.25" hidden="false" customHeight="true" outlineLevel="0" collapsed="false">
      <c r="A121" s="58" t="s">
        <v>214</v>
      </c>
      <c r="B121" s="89" t="s">
        <v>327</v>
      </c>
      <c r="C121" s="89"/>
      <c r="D121" s="67" t="n">
        <f aca="false">'EPI e uniformes'!F22</f>
        <v>25.4607105289572</v>
      </c>
    </row>
    <row r="122" customFormat="false" ht="38.25" hidden="false" customHeight="true" outlineLevel="0" collapsed="false">
      <c r="A122" s="58" t="s">
        <v>217</v>
      </c>
      <c r="B122" s="89" t="s">
        <v>328</v>
      </c>
      <c r="C122" s="89"/>
      <c r="D122" s="67" t="n">
        <f aca="false">materiais!G52</f>
        <v>295.727358069362</v>
      </c>
    </row>
    <row r="123" customFormat="false" ht="40.5" hidden="false" customHeight="true" outlineLevel="0" collapsed="false">
      <c r="A123" s="58" t="s">
        <v>220</v>
      </c>
      <c r="B123" s="89" t="s">
        <v>329</v>
      </c>
      <c r="C123" s="89"/>
      <c r="D123" s="67" t="n">
        <f aca="false">equipamentos!I13</f>
        <v>12.6125491359813</v>
      </c>
    </row>
    <row r="124" customFormat="false" ht="16.5" hidden="false" customHeight="true" outlineLevel="0" collapsed="false">
      <c r="A124" s="58" t="s">
        <v>241</v>
      </c>
      <c r="B124" s="89" t="s">
        <v>330</v>
      </c>
      <c r="C124" s="89"/>
      <c r="D124" s="66" t="n">
        <v>0</v>
      </c>
    </row>
    <row r="125" customFormat="false" ht="16.5" hidden="false" customHeight="true" outlineLevel="0" collapsed="false">
      <c r="A125" s="60" t="s">
        <v>331</v>
      </c>
      <c r="B125" s="60"/>
      <c r="C125" s="60"/>
      <c r="D125" s="69" t="n">
        <f aca="false">SUM(D120:D124)</f>
        <v>345.510163423536</v>
      </c>
    </row>
    <row r="126" customFormat="false" ht="12.75" hidden="false" customHeight="true" outlineLevel="0" collapsed="false">
      <c r="A126" s="85"/>
      <c r="B126" s="85"/>
      <c r="C126" s="85"/>
      <c r="D126" s="85"/>
    </row>
    <row r="127" customFormat="false" ht="16.5" hidden="false" customHeight="true" outlineLevel="0" collapsed="false">
      <c r="A127" s="65" t="s">
        <v>332</v>
      </c>
      <c r="B127" s="65"/>
      <c r="C127" s="65"/>
      <c r="D127" s="65"/>
    </row>
    <row r="128" customFormat="false" ht="12.75" hidden="false" customHeight="true" outlineLevel="0" collapsed="false">
      <c r="A128" s="60" t="n">
        <v>6</v>
      </c>
      <c r="B128" s="81" t="s">
        <v>333</v>
      </c>
      <c r="C128" s="60" t="s">
        <v>334</v>
      </c>
      <c r="D128" s="72" t="s">
        <v>236</v>
      </c>
    </row>
    <row r="129" customFormat="false" ht="12.75" hidden="false" customHeight="true" outlineLevel="0" collapsed="false">
      <c r="A129" s="58" t="s">
        <v>212</v>
      </c>
      <c r="B129" s="71" t="s">
        <v>335</v>
      </c>
      <c r="C129" s="90" t="n">
        <v>0.05</v>
      </c>
      <c r="D129" s="67" t="n">
        <f aca="false">D150*C129</f>
        <v>186.399271324426</v>
      </c>
    </row>
    <row r="130" customFormat="false" ht="44.25" hidden="false" customHeight="true" outlineLevel="0" collapsed="false">
      <c r="A130" s="58" t="s">
        <v>336</v>
      </c>
      <c r="B130" s="58"/>
      <c r="C130" s="58"/>
      <c r="D130" s="58"/>
    </row>
    <row r="131" customFormat="false" ht="12.75" hidden="false" customHeight="true" outlineLevel="0" collapsed="false">
      <c r="A131" s="58" t="s">
        <v>214</v>
      </c>
      <c r="B131" s="71" t="s">
        <v>337</v>
      </c>
      <c r="C131" s="90" t="n">
        <v>0.08</v>
      </c>
      <c r="D131" s="67" t="n">
        <f aca="false">(D150+D129)*C131</f>
        <v>313.150775825035</v>
      </c>
    </row>
    <row r="132" customFormat="false" ht="42.75" hidden="false" customHeight="true" outlineLevel="0" collapsed="false">
      <c r="A132" s="58" t="s">
        <v>338</v>
      </c>
      <c r="B132" s="58"/>
      <c r="C132" s="58"/>
      <c r="D132" s="58"/>
    </row>
    <row r="133" customFormat="false" ht="12.75" hidden="false" customHeight="true" outlineLevel="0" collapsed="false">
      <c r="A133" s="58" t="s">
        <v>217</v>
      </c>
      <c r="B133" s="71" t="s">
        <v>339</v>
      </c>
      <c r="C133" s="82"/>
      <c r="D133" s="58"/>
    </row>
    <row r="134" customFormat="false" ht="41.25" hidden="false" customHeight="true" outlineLevel="0" collapsed="false">
      <c r="A134" s="58" t="s">
        <v>340</v>
      </c>
      <c r="B134" s="58"/>
      <c r="C134" s="58"/>
      <c r="D134" s="58"/>
    </row>
    <row r="135" customFormat="false" ht="12.75" hidden="false" customHeight="true" outlineLevel="0" collapsed="false">
      <c r="A135" s="58"/>
      <c r="B135" s="71" t="s">
        <v>341</v>
      </c>
      <c r="C135" s="82"/>
      <c r="D135" s="58"/>
    </row>
    <row r="136" customFormat="false" ht="12.75" hidden="false" customHeight="true" outlineLevel="0" collapsed="false">
      <c r="A136" s="58"/>
      <c r="B136" s="71" t="s">
        <v>342</v>
      </c>
      <c r="C136" s="82" t="n">
        <v>0.0165</v>
      </c>
      <c r="D136" s="67" t="n">
        <f aca="false">($D$129+$D$131+$D$150)/(1-($C$136+$C$137+$C$139))*C136</f>
        <v>81.346163632684</v>
      </c>
    </row>
    <row r="137" customFormat="false" ht="12.75" hidden="false" customHeight="true" outlineLevel="0" collapsed="false">
      <c r="A137" s="58"/>
      <c r="B137" s="71" t="s">
        <v>343</v>
      </c>
      <c r="C137" s="82" t="n">
        <v>0.076</v>
      </c>
      <c r="D137" s="67" t="n">
        <f aca="false">($D$129+$D$131+$D$150)/(1-($C$136+$C$137+$C$139))*C137</f>
        <v>374.685359762666</v>
      </c>
    </row>
    <row r="138" customFormat="false" ht="12.75" hidden="false" customHeight="true" outlineLevel="0" collapsed="false">
      <c r="A138" s="58"/>
      <c r="B138" s="71" t="s">
        <v>344</v>
      </c>
      <c r="C138" s="82"/>
      <c r="D138" s="58"/>
    </row>
    <row r="139" customFormat="false" ht="12.75" hidden="false" customHeight="true" outlineLevel="0" collapsed="false">
      <c r="A139" s="58"/>
      <c r="B139" s="71" t="s">
        <v>345</v>
      </c>
      <c r="C139" s="82" t="n">
        <v>0.05</v>
      </c>
      <c r="D139" s="67" t="n">
        <f aca="false">($D$129+$D$131+$D$150)/(1-($C$136+$C$137+$C$139))*C139</f>
        <v>246.503526159648</v>
      </c>
    </row>
    <row r="140" customFormat="false" ht="12.75" hidden="false" customHeight="true" outlineLevel="0" collapsed="false">
      <c r="A140" s="58"/>
      <c r="B140" s="71" t="s">
        <v>346</v>
      </c>
      <c r="C140" s="82"/>
      <c r="D140" s="82"/>
    </row>
    <row r="141" customFormat="false" ht="12.75" hidden="false" customHeight="true" outlineLevel="0" collapsed="false">
      <c r="A141" s="60" t="s">
        <v>347</v>
      </c>
      <c r="B141" s="60"/>
      <c r="C141" s="60"/>
      <c r="D141" s="91" t="n">
        <f aca="false">SUM(D129:D139)</f>
        <v>1202.08509670446</v>
      </c>
    </row>
    <row r="142" customFormat="false" ht="26.25" hidden="false" customHeight="true" outlineLevel="0" collapsed="false">
      <c r="A142" s="80" t="s">
        <v>348</v>
      </c>
      <c r="B142" s="80"/>
      <c r="C142" s="80"/>
      <c r="D142" s="80"/>
    </row>
    <row r="143" customFormat="false" ht="12.75" hidden="false" customHeight="true" outlineLevel="0" collapsed="false">
      <c r="A143" s="61" t="s">
        <v>349</v>
      </c>
      <c r="B143" s="61"/>
      <c r="C143" s="61"/>
      <c r="D143" s="61"/>
    </row>
    <row r="144" customFormat="false" ht="12.75" hidden="false" customHeight="true" outlineLevel="0" collapsed="false">
      <c r="A144" s="92"/>
      <c r="B144" s="60" t="s">
        <v>350</v>
      </c>
      <c r="C144" s="60"/>
      <c r="D144" s="68" t="s">
        <v>351</v>
      </c>
    </row>
    <row r="145" customFormat="false" ht="12.75" hidden="false" customHeight="true" outlineLevel="0" collapsed="false">
      <c r="A145" s="58" t="s">
        <v>212</v>
      </c>
      <c r="B145" s="62" t="s">
        <v>352</v>
      </c>
      <c r="C145" s="62"/>
      <c r="D145" s="67" t="n">
        <f aca="false">D39</f>
        <v>1483.868</v>
      </c>
    </row>
    <row r="146" customFormat="false" ht="12.75" hidden="false" customHeight="true" outlineLevel="0" collapsed="false">
      <c r="A146" s="58" t="s">
        <v>214</v>
      </c>
      <c r="B146" s="62" t="s">
        <v>353</v>
      </c>
      <c r="C146" s="62"/>
      <c r="D146" s="67" t="n">
        <f aca="false">D79</f>
        <v>1540.1571772504</v>
      </c>
    </row>
    <row r="147" customFormat="false" ht="26.25" hidden="false" customHeight="true" outlineLevel="0" collapsed="false">
      <c r="A147" s="58" t="s">
        <v>217</v>
      </c>
      <c r="B147" s="62" t="s">
        <v>354</v>
      </c>
      <c r="C147" s="62"/>
      <c r="D147" s="67" t="n">
        <f aca="false">D89</f>
        <v>108.5646808016</v>
      </c>
    </row>
    <row r="148" customFormat="false" ht="16.5" hidden="false" customHeight="true" outlineLevel="0" collapsed="false">
      <c r="A148" s="58" t="s">
        <v>220</v>
      </c>
      <c r="B148" s="62" t="s">
        <v>355</v>
      </c>
      <c r="C148" s="62"/>
      <c r="D148" s="67" t="n">
        <f aca="false">D116</f>
        <v>249.885405012975</v>
      </c>
    </row>
    <row r="149" customFormat="false" ht="16.5" hidden="false" customHeight="true" outlineLevel="0" collapsed="false">
      <c r="A149" s="58" t="s">
        <v>241</v>
      </c>
      <c r="B149" s="62" t="s">
        <v>356</v>
      </c>
      <c r="C149" s="62"/>
      <c r="D149" s="67" t="n">
        <f aca="false">D125</f>
        <v>345.510163423536</v>
      </c>
    </row>
    <row r="150" customFormat="false" ht="16.5" hidden="false" customHeight="true" outlineLevel="0" collapsed="false">
      <c r="A150" s="73" t="s">
        <v>357</v>
      </c>
      <c r="B150" s="73"/>
      <c r="C150" s="73"/>
      <c r="D150" s="74" t="n">
        <f aca="false">SUM(D145:D149)</f>
        <v>3727.98542648851</v>
      </c>
    </row>
    <row r="151" customFormat="false" ht="16.5" hidden="false" customHeight="true" outlineLevel="0" collapsed="false">
      <c r="A151" s="58" t="s">
        <v>243</v>
      </c>
      <c r="B151" s="62" t="s">
        <v>358</v>
      </c>
      <c r="C151" s="62"/>
      <c r="D151" s="67" t="n">
        <f aca="false">D141</f>
        <v>1202.08509670446</v>
      </c>
    </row>
    <row r="152" customFormat="false" ht="16.5" hidden="false" customHeight="true" outlineLevel="0" collapsed="false">
      <c r="A152" s="58" t="s">
        <v>245</v>
      </c>
      <c r="B152" s="62" t="s">
        <v>330</v>
      </c>
      <c r="C152" s="62"/>
      <c r="D152" s="67" t="n">
        <v>0</v>
      </c>
    </row>
    <row r="153" customFormat="false" ht="16.5" hidden="false" customHeight="true" outlineLevel="0" collapsed="false">
      <c r="A153" s="93" t="s">
        <v>359</v>
      </c>
      <c r="B153" s="93"/>
      <c r="C153" s="93"/>
      <c r="D153" s="94" t="n">
        <f aca="false">SUM(D151+D150+D152)</f>
        <v>4930.07052319297</v>
      </c>
    </row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</sheetData>
  <mergeCells count="127">
    <mergeCell ref="A1:D1"/>
    <mergeCell ref="A2:D2"/>
    <mergeCell ref="A3:D3"/>
    <mergeCell ref="A4:D4"/>
    <mergeCell ref="A5:D5"/>
    <mergeCell ref="A6:D7"/>
    <mergeCell ref="A8:D8"/>
    <mergeCell ref="A9:D9"/>
    <mergeCell ref="B10:C10"/>
    <mergeCell ref="B11:C11"/>
    <mergeCell ref="B12:C12"/>
    <mergeCell ref="B13:C13"/>
    <mergeCell ref="A14:D14"/>
    <mergeCell ref="A15:D15"/>
    <mergeCell ref="A16:D16"/>
    <mergeCell ref="A17:D17"/>
    <mergeCell ref="A18:D18"/>
    <mergeCell ref="A19:D19"/>
    <mergeCell ref="A20:D20"/>
    <mergeCell ref="A21:D21"/>
    <mergeCell ref="B22:C22"/>
    <mergeCell ref="B23:C23"/>
    <mergeCell ref="B24:C24"/>
    <mergeCell ref="B25:C25"/>
    <mergeCell ref="B26:C26"/>
    <mergeCell ref="A27:D27"/>
    <mergeCell ref="A28:D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0:D40"/>
    <mergeCell ref="A41:D41"/>
    <mergeCell ref="A42:D42"/>
    <mergeCell ref="A43:D43"/>
    <mergeCell ref="B44:C44"/>
    <mergeCell ref="A47:C47"/>
    <mergeCell ref="A49:C49"/>
    <mergeCell ref="A50:D50"/>
    <mergeCell ref="A51:D51"/>
    <mergeCell ref="A62:D62"/>
    <mergeCell ref="A63:D63"/>
    <mergeCell ref="B64:C64"/>
    <mergeCell ref="B65:C65"/>
    <mergeCell ref="B66:C66"/>
    <mergeCell ref="B67:C67"/>
    <mergeCell ref="B68:C68"/>
    <mergeCell ref="B69:C69"/>
    <mergeCell ref="B70:C70"/>
    <mergeCell ref="B71:C71"/>
    <mergeCell ref="A72:C72"/>
    <mergeCell ref="A73:D73"/>
    <mergeCell ref="A74:D74"/>
    <mergeCell ref="B75:C75"/>
    <mergeCell ref="B76:C76"/>
    <mergeCell ref="B77:C77"/>
    <mergeCell ref="B78:C78"/>
    <mergeCell ref="A79:C79"/>
    <mergeCell ref="A80:D80"/>
    <mergeCell ref="A81:D81"/>
    <mergeCell ref="B82:C82"/>
    <mergeCell ref="B83:C83"/>
    <mergeCell ref="B84:C84"/>
    <mergeCell ref="B86:C86"/>
    <mergeCell ref="B87:C87"/>
    <mergeCell ref="A89:C89"/>
    <mergeCell ref="A90:D90"/>
    <mergeCell ref="A91:D91"/>
    <mergeCell ref="A92:D92"/>
    <mergeCell ref="A93:C93"/>
    <mergeCell ref="A94:D94"/>
    <mergeCell ref="B95:C95"/>
    <mergeCell ref="B96:C96"/>
    <mergeCell ref="B97:C97"/>
    <mergeCell ref="B98:C98"/>
    <mergeCell ref="B99:C99"/>
    <mergeCell ref="B100:C100"/>
    <mergeCell ref="B101:C101"/>
    <mergeCell ref="A105:C105"/>
    <mergeCell ref="A106:D106"/>
    <mergeCell ref="A107:D107"/>
    <mergeCell ref="B108:C108"/>
    <mergeCell ref="B109:C109"/>
    <mergeCell ref="A110:C110"/>
    <mergeCell ref="A111:D111"/>
    <mergeCell ref="A112:D112"/>
    <mergeCell ref="B113:C113"/>
    <mergeCell ref="B114:C114"/>
    <mergeCell ref="B115:C115"/>
    <mergeCell ref="A116:C116"/>
    <mergeCell ref="A117:D117"/>
    <mergeCell ref="A118:D118"/>
    <mergeCell ref="B119:C119"/>
    <mergeCell ref="B120:C120"/>
    <mergeCell ref="B121:C121"/>
    <mergeCell ref="B122:C122"/>
    <mergeCell ref="B123:C123"/>
    <mergeCell ref="B124:C124"/>
    <mergeCell ref="A125:C125"/>
    <mergeCell ref="A126:D126"/>
    <mergeCell ref="A127:D127"/>
    <mergeCell ref="A130:D130"/>
    <mergeCell ref="A132:D132"/>
    <mergeCell ref="A134:D134"/>
    <mergeCell ref="A135:A140"/>
    <mergeCell ref="C139:C140"/>
    <mergeCell ref="D139:D140"/>
    <mergeCell ref="A141:C141"/>
    <mergeCell ref="A142:D142"/>
    <mergeCell ref="A143:D143"/>
    <mergeCell ref="B144:C144"/>
    <mergeCell ref="B145:C145"/>
    <mergeCell ref="B146:C146"/>
    <mergeCell ref="B147:C147"/>
    <mergeCell ref="B148:C148"/>
    <mergeCell ref="B149:C149"/>
    <mergeCell ref="A150:C150"/>
    <mergeCell ref="B151:C151"/>
    <mergeCell ref="B152:C152"/>
    <mergeCell ref="A153:C153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false"/>
  </sheetPr>
  <dimension ref="A1:Y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62.71"/>
    <col collapsed="false" customWidth="true" hidden="false" outlineLevel="0" max="4" min="3" style="0" width="11.14"/>
    <col collapsed="false" customWidth="true" hidden="false" outlineLevel="0" max="5" min="5" style="0" width="15.42"/>
    <col collapsed="false" customWidth="true" hidden="false" outlineLevel="0" max="6" min="6" style="0" width="14.69"/>
    <col collapsed="false" customWidth="true" hidden="false" outlineLevel="0" max="24" min="7" style="0" width="9.13"/>
    <col collapsed="false" customWidth="true" hidden="false" outlineLevel="0" max="25" min="25" style="0" width="8.71"/>
    <col collapsed="false" customWidth="true" hidden="false" outlineLevel="0" max="1025" min="26" style="0" width="14.43"/>
  </cols>
  <sheetData>
    <row r="1" customFormat="false" ht="22.5" hidden="false" customHeight="true" outlineLevel="0" collapsed="false">
      <c r="A1" s="51" t="s">
        <v>372</v>
      </c>
      <c r="B1" s="51"/>
      <c r="C1" s="51"/>
      <c r="D1" s="51"/>
      <c r="E1" s="51"/>
      <c r="F1" s="51"/>
      <c r="U1" s="98"/>
      <c r="V1" s="98"/>
      <c r="W1" s="98"/>
      <c r="X1" s="98"/>
      <c r="Y1" s="98"/>
    </row>
    <row r="2" customFormat="false" ht="12.75" hidden="false" customHeight="false" outlineLevel="0" collapsed="false">
      <c r="A2" s="99"/>
      <c r="B2" s="99"/>
      <c r="C2" s="99"/>
      <c r="D2" s="99"/>
      <c r="E2" s="99"/>
      <c r="F2" s="99"/>
      <c r="Y2" s="98"/>
    </row>
    <row r="3" customFormat="false" ht="12.75" hidden="false" customHeight="true" outlineLevel="0" collapsed="false">
      <c r="A3" s="100" t="s">
        <v>373</v>
      </c>
      <c r="B3" s="100"/>
      <c r="C3" s="100"/>
      <c r="D3" s="100"/>
      <c r="E3" s="100"/>
      <c r="F3" s="100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</row>
    <row r="4" customFormat="false" ht="12.75" hidden="false" customHeight="true" outlineLevel="0" collapsed="false">
      <c r="A4" s="72" t="s">
        <v>374</v>
      </c>
      <c r="B4" s="72" t="s">
        <v>375</v>
      </c>
      <c r="C4" s="72" t="s">
        <v>376</v>
      </c>
      <c r="D4" s="72" t="s">
        <v>377</v>
      </c>
      <c r="E4" s="72" t="s">
        <v>378</v>
      </c>
      <c r="F4" s="72" t="s">
        <v>379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customFormat="false" ht="12.8" hidden="false" customHeight="false" outlineLevel="0" collapsed="false">
      <c r="A5" s="73" t="n">
        <v>1</v>
      </c>
      <c r="B5" s="71" t="s">
        <v>380</v>
      </c>
      <c r="C5" s="58" t="s">
        <v>381</v>
      </c>
      <c r="D5" s="101" t="n">
        <v>20</v>
      </c>
      <c r="E5" s="102" t="n">
        <v>19.15</v>
      </c>
      <c r="F5" s="103" t="n">
        <f aca="false">D5*E5</f>
        <v>383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</row>
    <row r="6" customFormat="false" ht="25.5" hidden="false" customHeight="false" outlineLevel="0" collapsed="false">
      <c r="A6" s="73" t="n">
        <v>2</v>
      </c>
      <c r="B6" s="71" t="s">
        <v>382</v>
      </c>
      <c r="C6" s="58" t="s">
        <v>381</v>
      </c>
      <c r="D6" s="58" t="n">
        <v>10</v>
      </c>
      <c r="E6" s="104" t="n">
        <v>25.07</v>
      </c>
      <c r="F6" s="103" t="n">
        <f aca="false">D6*E6</f>
        <v>250.7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customFormat="false" ht="23.85" hidden="false" customHeight="false" outlineLevel="0" collapsed="false">
      <c r="A7" s="73" t="n">
        <v>3</v>
      </c>
      <c r="B7" s="71" t="s">
        <v>383</v>
      </c>
      <c r="C7" s="58" t="s">
        <v>381</v>
      </c>
      <c r="D7" s="101" t="n">
        <v>20</v>
      </c>
      <c r="E7" s="102" t="n">
        <v>36.07</v>
      </c>
      <c r="F7" s="103" t="n">
        <f aca="false">D7*E7</f>
        <v>721.4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</row>
    <row r="8" customFormat="false" ht="12.8" hidden="false" customHeight="false" outlineLevel="0" collapsed="false">
      <c r="A8" s="73" t="n">
        <v>4</v>
      </c>
      <c r="B8" s="71" t="s">
        <v>384</v>
      </c>
      <c r="C8" s="58" t="s">
        <v>385</v>
      </c>
      <c r="D8" s="101" t="n">
        <v>20</v>
      </c>
      <c r="E8" s="102" t="n">
        <v>11.91</v>
      </c>
      <c r="F8" s="103" t="n">
        <f aca="false">D8*E8</f>
        <v>238.2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</row>
    <row r="9" customFormat="false" ht="12.75" hidden="false" customHeight="true" outlineLevel="0" collapsed="false">
      <c r="A9" s="105" t="s">
        <v>386</v>
      </c>
      <c r="B9" s="105"/>
      <c r="C9" s="105"/>
      <c r="D9" s="105"/>
      <c r="E9" s="105"/>
      <c r="F9" s="106" t="n">
        <f aca="false">SUM(F5:F8)</f>
        <v>1593.3</v>
      </c>
    </row>
    <row r="10" customFormat="false" ht="12.75" hidden="false" customHeight="true" outlineLevel="0" collapsed="false">
      <c r="A10" s="105" t="s">
        <v>387</v>
      </c>
      <c r="B10" s="105"/>
      <c r="C10" s="105"/>
      <c r="D10" s="105"/>
      <c r="E10" s="105"/>
      <c r="F10" s="106" t="n">
        <f aca="false">(F9/12)/'Postos Necessários -CNP'!G19</f>
        <v>12.9030806492953</v>
      </c>
    </row>
    <row r="11" customFormat="false" ht="12.75" hidden="false" customHeight="true" outlineLevel="0" collapsed="false">
      <c r="A11" s="107" t="s">
        <v>388</v>
      </c>
      <c r="B11" s="107"/>
      <c r="C11" s="107"/>
      <c r="D11" s="107"/>
      <c r="E11" s="107"/>
      <c r="F11" s="108" t="n">
        <f aca="false">F10-(0.0925*F10)</f>
        <v>11.7095456892355</v>
      </c>
      <c r="G11" s="98"/>
      <c r="H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</row>
    <row r="12" customFormat="false" ht="12.75" hidden="false" customHeight="true" outlineLevel="0" collapsed="false">
      <c r="A12" s="109"/>
      <c r="B12" s="109"/>
      <c r="C12" s="109"/>
      <c r="D12" s="109"/>
      <c r="E12" s="109"/>
      <c r="F12" s="109"/>
      <c r="G12" s="98"/>
      <c r="H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</row>
    <row r="13" customFormat="false" ht="12.75" hidden="false" customHeight="true" outlineLevel="0" collapsed="false">
      <c r="A13" s="110" t="s">
        <v>389</v>
      </c>
      <c r="B13" s="110"/>
      <c r="C13" s="110"/>
      <c r="D13" s="110"/>
      <c r="E13" s="110"/>
      <c r="F13" s="110"/>
      <c r="G13" s="98"/>
      <c r="H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</row>
    <row r="14" customFormat="false" ht="12.75" hidden="false" customHeight="true" outlineLevel="0" collapsed="false">
      <c r="A14" s="72" t="s">
        <v>374</v>
      </c>
      <c r="B14" s="72" t="s">
        <v>375</v>
      </c>
      <c r="C14" s="72" t="s">
        <v>376</v>
      </c>
      <c r="D14" s="72" t="s">
        <v>377</v>
      </c>
      <c r="E14" s="72" t="s">
        <v>378</v>
      </c>
      <c r="F14" s="72" t="s">
        <v>379</v>
      </c>
      <c r="G14" s="98"/>
      <c r="H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</row>
    <row r="15" customFormat="false" ht="35.05" hidden="false" customHeight="false" outlineLevel="0" collapsed="false">
      <c r="A15" s="73" t="n">
        <v>5</v>
      </c>
      <c r="B15" s="71" t="s">
        <v>390</v>
      </c>
      <c r="C15" s="58" t="s">
        <v>381</v>
      </c>
      <c r="D15" s="58" t="n">
        <v>10</v>
      </c>
      <c r="E15" s="102" t="n">
        <v>40.87</v>
      </c>
      <c r="F15" s="103" t="n">
        <f aca="false">D15*E15</f>
        <v>408.7</v>
      </c>
      <c r="G15" s="98"/>
      <c r="H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</row>
    <row r="16" customFormat="false" ht="35.05" hidden="false" customHeight="false" outlineLevel="0" collapsed="false">
      <c r="A16" s="73" t="n">
        <v>6</v>
      </c>
      <c r="B16" s="71" t="s">
        <v>391</v>
      </c>
      <c r="C16" s="58" t="s">
        <v>381</v>
      </c>
      <c r="D16" s="58" t="n">
        <v>10</v>
      </c>
      <c r="E16" s="102" t="n">
        <v>38.42</v>
      </c>
      <c r="F16" s="103" t="n">
        <f aca="false">D16*E16</f>
        <v>384.2</v>
      </c>
      <c r="G16" s="98"/>
      <c r="H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</row>
    <row r="17" customFormat="false" ht="12.8" hidden="false" customHeight="false" outlineLevel="0" collapsed="false">
      <c r="A17" s="111" t="n">
        <v>7</v>
      </c>
      <c r="B17" s="112" t="s">
        <v>392</v>
      </c>
      <c r="C17" s="113" t="s">
        <v>381</v>
      </c>
      <c r="D17" s="113" t="n">
        <v>300</v>
      </c>
      <c r="E17" s="114" t="n">
        <v>8.14</v>
      </c>
      <c r="F17" s="115" t="n">
        <f aca="false">D17*E17</f>
        <v>2442</v>
      </c>
      <c r="G17" s="98"/>
      <c r="H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</row>
    <row r="18" customFormat="false" ht="35.05" hidden="false" customHeight="false" outlineLevel="0" collapsed="false">
      <c r="A18" s="111" t="n">
        <v>8</v>
      </c>
      <c r="B18" s="112" t="s">
        <v>393</v>
      </c>
      <c r="C18" s="113" t="s">
        <v>394</v>
      </c>
      <c r="D18" s="113" t="n">
        <v>10</v>
      </c>
      <c r="E18" s="114" t="n">
        <v>13.93</v>
      </c>
      <c r="F18" s="115" t="n">
        <f aca="false">D18*E18</f>
        <v>139.3</v>
      </c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</row>
    <row r="19" customFormat="false" ht="12.8" hidden="false" customHeight="false" outlineLevel="0" collapsed="false">
      <c r="A19" s="111" t="n">
        <v>9</v>
      </c>
      <c r="B19" s="112" t="s">
        <v>395</v>
      </c>
      <c r="C19" s="113" t="s">
        <v>381</v>
      </c>
      <c r="D19" s="113" t="n">
        <v>20</v>
      </c>
      <c r="E19" s="114" t="n">
        <v>4.51</v>
      </c>
      <c r="F19" s="115" t="n">
        <f aca="false">D19*E19</f>
        <v>90.2</v>
      </c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</row>
    <row r="20" customFormat="false" ht="12.75" hidden="false" customHeight="true" outlineLevel="0" collapsed="false">
      <c r="A20" s="105" t="s">
        <v>386</v>
      </c>
      <c r="B20" s="105"/>
      <c r="C20" s="105"/>
      <c r="D20" s="105"/>
      <c r="E20" s="105"/>
      <c r="F20" s="106" t="n">
        <f aca="false">SUM(F15:F19)</f>
        <v>3464.4</v>
      </c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</row>
    <row r="21" customFormat="false" ht="12.75" hidden="false" customHeight="true" outlineLevel="0" collapsed="false">
      <c r="A21" s="105" t="s">
        <v>387</v>
      </c>
      <c r="B21" s="105"/>
      <c r="C21" s="105"/>
      <c r="D21" s="105"/>
      <c r="E21" s="105"/>
      <c r="F21" s="106" t="n">
        <f aca="false">(F20/12)/'Postos Necessários -CNP'!G19</f>
        <v>28.0558793707517</v>
      </c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</row>
    <row r="22" customFormat="false" ht="12.75" hidden="false" customHeight="true" outlineLevel="0" collapsed="false">
      <c r="A22" s="107" t="s">
        <v>388</v>
      </c>
      <c r="B22" s="107"/>
      <c r="C22" s="107"/>
      <c r="D22" s="107"/>
      <c r="E22" s="107"/>
      <c r="F22" s="108" t="n">
        <f aca="false">F21-(0.0925*F21)</f>
        <v>25.4607105289572</v>
      </c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</row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</sheetData>
  <mergeCells count="10">
    <mergeCell ref="A1:F1"/>
    <mergeCell ref="A3:F3"/>
    <mergeCell ref="A9:E9"/>
    <mergeCell ref="A10:E10"/>
    <mergeCell ref="A11:E11"/>
    <mergeCell ref="A12:F12"/>
    <mergeCell ref="A13:F13"/>
    <mergeCell ref="A20:E20"/>
    <mergeCell ref="A21:E21"/>
    <mergeCell ref="A22:E22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false"/>
  </sheetPr>
  <dimension ref="A1:X52"/>
  <sheetViews>
    <sheetView showFormulas="false" showGridLines="true" showRowColHeaders="true" showZeros="true" rightToLeft="false" tabSelected="true" showOutlineSymbols="true" defaultGridColor="true" view="normal" topLeftCell="A38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68.59"/>
    <col collapsed="false" customWidth="true" hidden="false" outlineLevel="0" max="3" min="3" style="0" width="22.57"/>
    <col collapsed="false" customWidth="true" hidden="false" outlineLevel="0" max="4" min="4" style="0" width="8.14"/>
    <col collapsed="false" customWidth="true" hidden="false" outlineLevel="0" max="5" min="5" style="0" width="17.59"/>
    <col collapsed="false" customWidth="true" hidden="false" outlineLevel="0" max="6" min="6" style="0" width="11.99"/>
    <col collapsed="false" customWidth="true" hidden="false" outlineLevel="0" max="7" min="7" style="0" width="16.87"/>
    <col collapsed="false" customWidth="true" hidden="false" outlineLevel="0" max="8" min="8" style="0" width="9.13"/>
    <col collapsed="false" customWidth="true" hidden="false" outlineLevel="0" max="9" min="9" style="0" width="13.29"/>
    <col collapsed="false" customWidth="true" hidden="false" outlineLevel="0" max="23" min="10" style="0" width="9.13"/>
    <col collapsed="false" customWidth="true" hidden="false" outlineLevel="0" max="24" min="24" style="0" width="8.71"/>
    <col collapsed="false" customWidth="true" hidden="false" outlineLevel="0" max="1025" min="25" style="0" width="14.43"/>
  </cols>
  <sheetData>
    <row r="1" customFormat="false" ht="17.35" hidden="false" customHeight="false" outlineLevel="0" collapsed="false">
      <c r="A1" s="116" t="s">
        <v>396</v>
      </c>
      <c r="B1" s="116"/>
      <c r="C1" s="116"/>
      <c r="D1" s="116"/>
      <c r="E1" s="116"/>
      <c r="F1" s="116"/>
      <c r="G1" s="116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98"/>
      <c r="U1" s="98"/>
      <c r="V1" s="98"/>
      <c r="W1" s="98"/>
      <c r="X1" s="98"/>
    </row>
    <row r="2" customFormat="false" ht="12.8" hidden="false" customHeight="false" outlineLevel="0" collapsed="false">
      <c r="A2" s="118"/>
      <c r="B2" s="99"/>
      <c r="C2" s="99"/>
      <c r="D2" s="99"/>
      <c r="E2" s="99"/>
      <c r="F2" s="99"/>
      <c r="G2" s="99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98"/>
    </row>
    <row r="3" customFormat="false" ht="24" hidden="false" customHeight="false" outlineLevel="0" collapsed="false">
      <c r="A3" s="72" t="s">
        <v>397</v>
      </c>
      <c r="B3" s="72" t="s">
        <v>375</v>
      </c>
      <c r="C3" s="72" t="s">
        <v>381</v>
      </c>
      <c r="D3" s="72" t="s">
        <v>398</v>
      </c>
      <c r="E3" s="72" t="s">
        <v>399</v>
      </c>
      <c r="F3" s="72" t="s">
        <v>378</v>
      </c>
      <c r="G3" s="72" t="s">
        <v>400</v>
      </c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customFormat="false" ht="46.5" hidden="false" customHeight="false" outlineLevel="0" collapsed="false">
      <c r="A4" s="119" t="n">
        <v>1</v>
      </c>
      <c r="B4" s="120" t="s">
        <v>401</v>
      </c>
      <c r="C4" s="121" t="s">
        <v>402</v>
      </c>
      <c r="D4" s="122" t="n">
        <v>30</v>
      </c>
      <c r="E4" s="121" t="s">
        <v>403</v>
      </c>
      <c r="F4" s="123" t="n">
        <v>7.57</v>
      </c>
      <c r="G4" s="124" t="n">
        <f aca="false">D4*F4</f>
        <v>227.1</v>
      </c>
      <c r="H4" s="98"/>
      <c r="I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</row>
    <row r="5" customFormat="false" ht="13.2" hidden="false" customHeight="false" outlineLevel="0" collapsed="false">
      <c r="A5" s="119" t="n">
        <v>2</v>
      </c>
      <c r="B5" s="125" t="s">
        <v>404</v>
      </c>
      <c r="C5" s="121" t="s">
        <v>405</v>
      </c>
      <c r="D5" s="126" t="n">
        <v>10</v>
      </c>
      <c r="E5" s="121" t="s">
        <v>403</v>
      </c>
      <c r="F5" s="123" t="n">
        <v>4.44</v>
      </c>
      <c r="G5" s="124" t="n">
        <f aca="false">D5*F5</f>
        <v>44.4</v>
      </c>
      <c r="H5" s="98"/>
      <c r="I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</row>
    <row r="6" customFormat="false" ht="13.2" hidden="false" customHeight="false" outlineLevel="0" collapsed="false">
      <c r="A6" s="119" t="n">
        <v>3</v>
      </c>
      <c r="B6" s="125" t="s">
        <v>406</v>
      </c>
      <c r="C6" s="121" t="s">
        <v>407</v>
      </c>
      <c r="D6" s="121" t="n">
        <v>4</v>
      </c>
      <c r="E6" s="121" t="s">
        <v>403</v>
      </c>
      <c r="F6" s="123" t="n">
        <v>4.08</v>
      </c>
      <c r="G6" s="124" t="n">
        <f aca="false">D6*F6</f>
        <v>16.32</v>
      </c>
      <c r="H6" s="98"/>
      <c r="I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customFormat="false" ht="13.2" hidden="false" customHeight="false" outlineLevel="0" collapsed="false">
      <c r="A7" s="119" t="n">
        <v>4</v>
      </c>
      <c r="B7" s="125" t="s">
        <v>408</v>
      </c>
      <c r="C7" s="121" t="s">
        <v>409</v>
      </c>
      <c r="D7" s="126" t="n">
        <v>3</v>
      </c>
      <c r="E7" s="121" t="s">
        <v>403</v>
      </c>
      <c r="F7" s="123" t="n">
        <v>7.17</v>
      </c>
      <c r="G7" s="124" t="n">
        <f aca="false">D7*F7</f>
        <v>21.51</v>
      </c>
      <c r="H7" s="98"/>
      <c r="I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</row>
    <row r="8" customFormat="false" ht="29.25" hidden="false" customHeight="true" outlineLevel="0" collapsed="false">
      <c r="A8" s="119" t="n">
        <v>5</v>
      </c>
      <c r="B8" s="125" t="s">
        <v>410</v>
      </c>
      <c r="C8" s="121" t="s">
        <v>381</v>
      </c>
      <c r="D8" s="122" t="n">
        <v>15</v>
      </c>
      <c r="E8" s="121" t="s">
        <v>411</v>
      </c>
      <c r="F8" s="123" t="n">
        <v>8.36</v>
      </c>
      <c r="G8" s="124" t="n">
        <f aca="false">D8*(F8/6)</f>
        <v>20.9</v>
      </c>
      <c r="H8" s="98"/>
      <c r="I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</row>
    <row r="9" customFormat="false" ht="13.2" hidden="false" customHeight="false" outlineLevel="0" collapsed="false">
      <c r="A9" s="119" t="n">
        <v>6</v>
      </c>
      <c r="B9" s="125" t="s">
        <v>412</v>
      </c>
      <c r="C9" s="121" t="s">
        <v>405</v>
      </c>
      <c r="D9" s="122" t="n">
        <v>24</v>
      </c>
      <c r="E9" s="121" t="s">
        <v>411</v>
      </c>
      <c r="F9" s="123" t="n">
        <v>6.05</v>
      </c>
      <c r="G9" s="124" t="n">
        <f aca="false">D9*(F9/6)</f>
        <v>24.2</v>
      </c>
      <c r="H9" s="98"/>
      <c r="I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</row>
    <row r="10" customFormat="false" ht="35.25" hidden="false" customHeight="false" outlineLevel="0" collapsed="false">
      <c r="A10" s="119" t="n">
        <v>7</v>
      </c>
      <c r="B10" s="125" t="s">
        <v>413</v>
      </c>
      <c r="C10" s="121" t="s">
        <v>381</v>
      </c>
      <c r="D10" s="122" t="n">
        <v>12</v>
      </c>
      <c r="E10" s="121" t="s">
        <v>411</v>
      </c>
      <c r="F10" s="123" t="n">
        <v>16.75</v>
      </c>
      <c r="G10" s="124" t="n">
        <f aca="false">D10*(F10/6)</f>
        <v>33.5</v>
      </c>
      <c r="H10" s="98"/>
      <c r="I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</row>
    <row r="11" customFormat="false" ht="35.25" hidden="false" customHeight="false" outlineLevel="0" collapsed="false">
      <c r="A11" s="119" t="n">
        <v>8</v>
      </c>
      <c r="B11" s="125" t="s">
        <v>414</v>
      </c>
      <c r="C11" s="121" t="s">
        <v>415</v>
      </c>
      <c r="D11" s="122" t="n">
        <v>6</v>
      </c>
      <c r="E11" s="121" t="s">
        <v>403</v>
      </c>
      <c r="F11" s="123" t="n">
        <v>19.72</v>
      </c>
      <c r="G11" s="124" t="n">
        <f aca="false">D11*F11</f>
        <v>118.32</v>
      </c>
      <c r="H11" s="98"/>
      <c r="I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</row>
    <row r="12" customFormat="false" ht="35.25" hidden="false" customHeight="false" outlineLevel="0" collapsed="false">
      <c r="A12" s="119" t="n">
        <v>9</v>
      </c>
      <c r="B12" s="125" t="s">
        <v>416</v>
      </c>
      <c r="C12" s="121" t="s">
        <v>417</v>
      </c>
      <c r="D12" s="122" t="n">
        <v>35</v>
      </c>
      <c r="E12" s="121" t="s">
        <v>403</v>
      </c>
      <c r="F12" s="123" t="n">
        <v>4.07</v>
      </c>
      <c r="G12" s="124" t="n">
        <f aca="false">D12*F12</f>
        <v>142.45</v>
      </c>
      <c r="H12" s="98"/>
      <c r="I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</row>
    <row r="13" customFormat="false" ht="13.2" hidden="false" customHeight="false" outlineLevel="0" collapsed="false">
      <c r="A13" s="119" t="n">
        <v>10</v>
      </c>
      <c r="B13" s="125" t="s">
        <v>418</v>
      </c>
      <c r="C13" s="121" t="s">
        <v>419</v>
      </c>
      <c r="D13" s="122" t="n">
        <v>50</v>
      </c>
      <c r="E13" s="121" t="s">
        <v>403</v>
      </c>
      <c r="F13" s="123" t="n">
        <v>0.94</v>
      </c>
      <c r="G13" s="124" t="n">
        <f aca="false">D13*F13</f>
        <v>47</v>
      </c>
      <c r="H13" s="98"/>
      <c r="I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</row>
    <row r="14" customFormat="false" ht="35.25" hidden="false" customHeight="false" outlineLevel="0" collapsed="false">
      <c r="A14" s="119" t="n">
        <v>11</v>
      </c>
      <c r="B14" s="125" t="s">
        <v>420</v>
      </c>
      <c r="C14" s="121" t="s">
        <v>421</v>
      </c>
      <c r="D14" s="122" t="n">
        <v>30</v>
      </c>
      <c r="E14" s="121" t="s">
        <v>403</v>
      </c>
      <c r="F14" s="123" t="n">
        <v>9.17</v>
      </c>
      <c r="G14" s="124" t="n">
        <f aca="false">D14*F14</f>
        <v>275.1</v>
      </c>
      <c r="H14" s="98"/>
      <c r="I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</row>
    <row r="15" customFormat="false" ht="24" hidden="false" customHeight="false" outlineLevel="0" collapsed="false">
      <c r="A15" s="119" t="n">
        <v>12</v>
      </c>
      <c r="B15" s="125" t="s">
        <v>422</v>
      </c>
      <c r="C15" s="121" t="s">
        <v>423</v>
      </c>
      <c r="D15" s="122" t="n">
        <v>6</v>
      </c>
      <c r="E15" s="121" t="s">
        <v>403</v>
      </c>
      <c r="F15" s="123" t="n">
        <v>21.45</v>
      </c>
      <c r="G15" s="124" t="n">
        <f aca="false">D15*F15</f>
        <v>128.7</v>
      </c>
      <c r="H15" s="98"/>
      <c r="I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</row>
    <row r="16" customFormat="false" ht="35.25" hidden="false" customHeight="false" outlineLevel="0" collapsed="false">
      <c r="A16" s="119" t="n">
        <v>13</v>
      </c>
      <c r="B16" s="125" t="s">
        <v>424</v>
      </c>
      <c r="C16" s="121" t="s">
        <v>423</v>
      </c>
      <c r="D16" s="122" t="n">
        <v>5</v>
      </c>
      <c r="E16" s="121" t="s">
        <v>425</v>
      </c>
      <c r="F16" s="123" t="n">
        <v>2.88</v>
      </c>
      <c r="G16" s="124" t="n">
        <f aca="false">D16*(F16/2)</f>
        <v>7.2</v>
      </c>
      <c r="H16" s="98"/>
      <c r="I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</row>
    <row r="17" customFormat="false" ht="13.2" hidden="false" customHeight="false" outlineLevel="0" collapsed="false">
      <c r="A17" s="119" t="n">
        <v>14</v>
      </c>
      <c r="B17" s="125" t="s">
        <v>426</v>
      </c>
      <c r="C17" s="121" t="s">
        <v>423</v>
      </c>
      <c r="D17" s="122" t="n">
        <v>15</v>
      </c>
      <c r="E17" s="121" t="s">
        <v>411</v>
      </c>
      <c r="F17" s="123" t="n">
        <v>5.74</v>
      </c>
      <c r="G17" s="124" t="n">
        <f aca="false">D17*(F17/6)</f>
        <v>14.35</v>
      </c>
      <c r="H17" s="98"/>
      <c r="I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</row>
    <row r="18" customFormat="false" ht="24" hidden="false" customHeight="false" outlineLevel="0" collapsed="false">
      <c r="A18" s="119" t="n">
        <v>15</v>
      </c>
      <c r="B18" s="125" t="s">
        <v>427</v>
      </c>
      <c r="C18" s="121" t="s">
        <v>423</v>
      </c>
      <c r="D18" s="122" t="n">
        <v>24</v>
      </c>
      <c r="E18" s="121" t="s">
        <v>403</v>
      </c>
      <c r="F18" s="123" t="n">
        <v>1.79</v>
      </c>
      <c r="G18" s="124" t="n">
        <f aca="false">D18*F18</f>
        <v>42.96</v>
      </c>
      <c r="H18" s="98"/>
      <c r="I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</row>
    <row r="19" customFormat="false" ht="13.2" hidden="false" customHeight="false" outlineLevel="0" collapsed="false">
      <c r="A19" s="119" t="n">
        <v>16</v>
      </c>
      <c r="B19" s="125" t="s">
        <v>428</v>
      </c>
      <c r="C19" s="121" t="s">
        <v>423</v>
      </c>
      <c r="D19" s="122" t="n">
        <v>30</v>
      </c>
      <c r="E19" s="121" t="s">
        <v>403</v>
      </c>
      <c r="F19" s="123" t="n">
        <v>0.94</v>
      </c>
      <c r="G19" s="124" t="n">
        <f aca="false">D19*F19</f>
        <v>28.2</v>
      </c>
      <c r="H19" s="98"/>
      <c r="I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</row>
    <row r="20" customFormat="false" ht="24" hidden="false" customHeight="false" outlineLevel="0" collapsed="false">
      <c r="A20" s="119" t="n">
        <v>17</v>
      </c>
      <c r="B20" s="125" t="s">
        <v>429</v>
      </c>
      <c r="C20" s="121" t="s">
        <v>423</v>
      </c>
      <c r="D20" s="122" t="n">
        <v>12</v>
      </c>
      <c r="E20" s="121" t="s">
        <v>403</v>
      </c>
      <c r="F20" s="123" t="n">
        <v>5.28</v>
      </c>
      <c r="G20" s="124" t="n">
        <f aca="false">D20*F20</f>
        <v>63.36</v>
      </c>
      <c r="H20" s="98"/>
      <c r="I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</row>
    <row r="21" customFormat="false" ht="35.25" hidden="false" customHeight="false" outlineLevel="0" collapsed="false">
      <c r="A21" s="119" t="n">
        <v>18</v>
      </c>
      <c r="B21" s="125" t="s">
        <v>430</v>
      </c>
      <c r="C21" s="121" t="s">
        <v>385</v>
      </c>
      <c r="D21" s="122" t="n">
        <v>24</v>
      </c>
      <c r="E21" s="121" t="s">
        <v>403</v>
      </c>
      <c r="F21" s="123" t="n">
        <v>3.98</v>
      </c>
      <c r="G21" s="124" t="n">
        <f aca="false">D21*F21</f>
        <v>95.52</v>
      </c>
      <c r="H21" s="98"/>
      <c r="I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</row>
    <row r="22" customFormat="false" ht="13.2" hidden="false" customHeight="false" outlineLevel="0" collapsed="false">
      <c r="A22" s="119" t="n">
        <v>19</v>
      </c>
      <c r="B22" s="125" t="s">
        <v>431</v>
      </c>
      <c r="C22" s="121" t="s">
        <v>423</v>
      </c>
      <c r="D22" s="122" t="n">
        <v>12</v>
      </c>
      <c r="E22" s="121" t="s">
        <v>432</v>
      </c>
      <c r="F22" s="123" t="n">
        <v>7.98</v>
      </c>
      <c r="G22" s="124" t="n">
        <f aca="false">D22*(F22/12)</f>
        <v>7.98</v>
      </c>
      <c r="H22" s="98"/>
      <c r="I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</row>
    <row r="23" customFormat="false" ht="13.2" hidden="false" customHeight="false" outlineLevel="0" collapsed="false">
      <c r="A23" s="119" t="n">
        <v>20</v>
      </c>
      <c r="B23" s="125" t="s">
        <v>433</v>
      </c>
      <c r="C23" s="121" t="s">
        <v>423</v>
      </c>
      <c r="D23" s="122" t="n">
        <v>12</v>
      </c>
      <c r="E23" s="121" t="s">
        <v>403</v>
      </c>
      <c r="F23" s="123" t="n">
        <v>3.39</v>
      </c>
      <c r="G23" s="124" t="n">
        <f aca="false">D23*F23</f>
        <v>40.68</v>
      </c>
      <c r="H23" s="98"/>
      <c r="I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</row>
    <row r="24" customFormat="false" ht="30.75" hidden="false" customHeight="true" outlineLevel="0" collapsed="false">
      <c r="A24" s="119" t="n">
        <v>21</v>
      </c>
      <c r="B24" s="125" t="s">
        <v>434</v>
      </c>
      <c r="C24" s="121" t="s">
        <v>435</v>
      </c>
      <c r="D24" s="122" t="n">
        <v>15</v>
      </c>
      <c r="E24" s="121" t="s">
        <v>403</v>
      </c>
      <c r="F24" s="123" t="n">
        <v>53.13</v>
      </c>
      <c r="G24" s="124" t="n">
        <f aca="false">D24*F24</f>
        <v>796.95</v>
      </c>
      <c r="H24" s="98"/>
      <c r="I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</row>
    <row r="25" customFormat="false" ht="24" hidden="false" customHeight="false" outlineLevel="0" collapsed="false">
      <c r="A25" s="119" t="n">
        <v>22</v>
      </c>
      <c r="B25" s="127" t="s">
        <v>436</v>
      </c>
      <c r="C25" s="121" t="s">
        <v>423</v>
      </c>
      <c r="D25" s="122" t="n">
        <v>2</v>
      </c>
      <c r="E25" s="121" t="s">
        <v>403</v>
      </c>
      <c r="F25" s="123" t="n">
        <v>6.73</v>
      </c>
      <c r="G25" s="124" t="n">
        <f aca="false">D25*F25</f>
        <v>13.46</v>
      </c>
      <c r="H25" s="98"/>
      <c r="I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</row>
    <row r="26" customFormat="false" ht="35.25" hidden="false" customHeight="false" outlineLevel="0" collapsed="false">
      <c r="A26" s="119" t="n">
        <v>23</v>
      </c>
      <c r="B26" s="127" t="s">
        <v>437</v>
      </c>
      <c r="C26" s="121" t="s">
        <v>438</v>
      </c>
      <c r="D26" s="122" t="n">
        <v>3</v>
      </c>
      <c r="E26" s="121" t="s">
        <v>403</v>
      </c>
      <c r="F26" s="123" t="n">
        <v>35</v>
      </c>
      <c r="G26" s="124" t="n">
        <f aca="false">D26*F26</f>
        <v>105</v>
      </c>
      <c r="H26" s="98"/>
      <c r="I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</row>
    <row r="27" customFormat="false" ht="57.75" hidden="false" customHeight="false" outlineLevel="0" collapsed="false">
      <c r="A27" s="119" t="n">
        <v>24</v>
      </c>
      <c r="B27" s="127" t="s">
        <v>439</v>
      </c>
      <c r="C27" s="121" t="s">
        <v>423</v>
      </c>
      <c r="D27" s="122" t="n">
        <v>15</v>
      </c>
      <c r="E27" s="121" t="s">
        <v>403</v>
      </c>
      <c r="F27" s="123" t="n">
        <v>5.55</v>
      </c>
      <c r="G27" s="124" t="n">
        <f aca="false">D27*F27</f>
        <v>83.25</v>
      </c>
      <c r="H27" s="98"/>
      <c r="I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</row>
    <row r="28" customFormat="false" ht="24" hidden="false" customHeight="false" outlineLevel="0" collapsed="false">
      <c r="A28" s="119" t="n">
        <v>25</v>
      </c>
      <c r="B28" s="127" t="s">
        <v>440</v>
      </c>
      <c r="C28" s="121" t="s">
        <v>441</v>
      </c>
      <c r="D28" s="122" t="n">
        <v>5</v>
      </c>
      <c r="E28" s="121" t="s">
        <v>403</v>
      </c>
      <c r="F28" s="123" t="n">
        <v>19.14</v>
      </c>
      <c r="G28" s="124" t="n">
        <f aca="false">D28*F28</f>
        <v>95.7</v>
      </c>
      <c r="H28" s="98"/>
      <c r="I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</row>
    <row r="29" customFormat="false" ht="24" hidden="false" customHeight="false" outlineLevel="0" collapsed="false">
      <c r="A29" s="119" t="n">
        <v>26</v>
      </c>
      <c r="B29" s="127" t="s">
        <v>442</v>
      </c>
      <c r="C29" s="121" t="s">
        <v>443</v>
      </c>
      <c r="D29" s="122" t="n">
        <v>2</v>
      </c>
      <c r="E29" s="121" t="s">
        <v>403</v>
      </c>
      <c r="F29" s="123" t="n">
        <v>16.62</v>
      </c>
      <c r="G29" s="124" t="n">
        <f aca="false">D29*F29</f>
        <v>33.24</v>
      </c>
      <c r="H29" s="98"/>
      <c r="I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</row>
    <row r="30" customFormat="false" ht="35.25" hidden="false" customHeight="false" outlineLevel="0" collapsed="false">
      <c r="A30" s="119" t="n">
        <v>27</v>
      </c>
      <c r="B30" s="127" t="s">
        <v>444</v>
      </c>
      <c r="C30" s="121" t="s">
        <v>443</v>
      </c>
      <c r="D30" s="121" t="n">
        <v>2</v>
      </c>
      <c r="E30" s="121" t="s">
        <v>403</v>
      </c>
      <c r="F30" s="123" t="n">
        <v>19.81</v>
      </c>
      <c r="G30" s="124" t="n">
        <f aca="false">D30*F30</f>
        <v>39.62</v>
      </c>
      <c r="H30" s="98"/>
      <c r="I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</row>
    <row r="31" customFormat="false" ht="35.25" hidden="false" customHeight="false" outlineLevel="0" collapsed="false">
      <c r="A31" s="119" t="n">
        <v>28</v>
      </c>
      <c r="B31" s="127" t="s">
        <v>445</v>
      </c>
      <c r="C31" s="121" t="s">
        <v>443</v>
      </c>
      <c r="D31" s="121" t="n">
        <v>2</v>
      </c>
      <c r="E31" s="121" t="s">
        <v>403</v>
      </c>
      <c r="F31" s="123" t="n">
        <v>14.03</v>
      </c>
      <c r="G31" s="124" t="n">
        <f aca="false">D31*F31</f>
        <v>28.06</v>
      </c>
      <c r="H31" s="98"/>
      <c r="I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</row>
    <row r="32" customFormat="false" ht="35.25" hidden="false" customHeight="false" outlineLevel="0" collapsed="false">
      <c r="A32" s="119" t="n">
        <v>29</v>
      </c>
      <c r="B32" s="127" t="s">
        <v>446</v>
      </c>
      <c r="C32" s="121" t="s">
        <v>443</v>
      </c>
      <c r="D32" s="121" t="n">
        <v>2</v>
      </c>
      <c r="E32" s="121" t="s">
        <v>403</v>
      </c>
      <c r="F32" s="123" t="n">
        <v>42.5</v>
      </c>
      <c r="G32" s="124" t="n">
        <f aca="false">D32*F32</f>
        <v>85</v>
      </c>
      <c r="H32" s="98"/>
      <c r="I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</row>
    <row r="33" customFormat="false" ht="35.25" hidden="false" customHeight="false" outlineLevel="0" collapsed="false">
      <c r="A33" s="119" t="n">
        <v>30</v>
      </c>
      <c r="B33" s="127" t="s">
        <v>447</v>
      </c>
      <c r="C33" s="121" t="s">
        <v>435</v>
      </c>
      <c r="D33" s="121" t="n">
        <v>10</v>
      </c>
      <c r="E33" s="121" t="s">
        <v>403</v>
      </c>
      <c r="F33" s="123" t="n">
        <v>6.98</v>
      </c>
      <c r="G33" s="124" t="n">
        <f aca="false">D33*F33</f>
        <v>69.8</v>
      </c>
      <c r="H33" s="98"/>
      <c r="I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</row>
    <row r="34" customFormat="false" ht="35.25" hidden="false" customHeight="false" outlineLevel="0" collapsed="false">
      <c r="A34" s="119" t="n">
        <v>31</v>
      </c>
      <c r="B34" s="127" t="s">
        <v>448</v>
      </c>
      <c r="C34" s="121" t="s">
        <v>423</v>
      </c>
      <c r="D34" s="121" t="n">
        <v>10</v>
      </c>
      <c r="E34" s="121" t="s">
        <v>449</v>
      </c>
      <c r="F34" s="123" t="n">
        <v>6.76</v>
      </c>
      <c r="G34" s="124" t="n">
        <f aca="false">D34*(F34/6)</f>
        <v>11.2666666666667</v>
      </c>
      <c r="H34" s="98"/>
      <c r="I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</row>
    <row r="35" customFormat="false" ht="13.2" hidden="false" customHeight="false" outlineLevel="0" collapsed="false">
      <c r="A35" s="119" t="n">
        <v>32</v>
      </c>
      <c r="B35" s="125" t="s">
        <v>450</v>
      </c>
      <c r="C35" s="121" t="s">
        <v>423</v>
      </c>
      <c r="D35" s="121" t="n">
        <v>10</v>
      </c>
      <c r="E35" s="121" t="s">
        <v>425</v>
      </c>
      <c r="F35" s="123" t="n">
        <v>5.74</v>
      </c>
      <c r="G35" s="124" t="n">
        <f aca="false">D35*(F35/2)</f>
        <v>28.7</v>
      </c>
      <c r="H35" s="98"/>
      <c r="I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</row>
    <row r="36" customFormat="false" ht="13.2" hidden="false" customHeight="false" outlineLevel="0" collapsed="false">
      <c r="A36" s="119" t="n">
        <v>33</v>
      </c>
      <c r="B36" s="125" t="s">
        <v>451</v>
      </c>
      <c r="C36" s="121" t="s">
        <v>423</v>
      </c>
      <c r="D36" s="121" t="n">
        <v>10</v>
      </c>
      <c r="E36" s="121" t="s">
        <v>425</v>
      </c>
      <c r="F36" s="123" t="n">
        <v>6.38</v>
      </c>
      <c r="G36" s="124" t="n">
        <f aca="false">D36*(F36/2)</f>
        <v>31.9</v>
      </c>
      <c r="H36" s="98"/>
      <c r="I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</row>
    <row r="37" customFormat="false" ht="13.2" hidden="false" customHeight="false" outlineLevel="0" collapsed="false">
      <c r="A37" s="119" t="n">
        <v>34</v>
      </c>
      <c r="B37" s="125" t="s">
        <v>452</v>
      </c>
      <c r="C37" s="121" t="s">
        <v>423</v>
      </c>
      <c r="D37" s="121" t="n">
        <v>20</v>
      </c>
      <c r="E37" s="121" t="s">
        <v>411</v>
      </c>
      <c r="F37" s="123" t="n">
        <v>14.48</v>
      </c>
      <c r="G37" s="124" t="n">
        <f aca="false">(D37*F37)/6</f>
        <v>48.2666666666667</v>
      </c>
      <c r="H37" s="98"/>
      <c r="I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</row>
    <row r="38" customFormat="false" ht="13.2" hidden="false" customHeight="false" outlineLevel="0" collapsed="false">
      <c r="A38" s="119" t="n">
        <v>35</v>
      </c>
      <c r="B38" s="125" t="s">
        <v>453</v>
      </c>
      <c r="C38" s="121" t="s">
        <v>423</v>
      </c>
      <c r="D38" s="121" t="n">
        <v>1</v>
      </c>
      <c r="E38" s="121" t="s">
        <v>454</v>
      </c>
      <c r="F38" s="123" t="n">
        <v>168.95</v>
      </c>
      <c r="G38" s="124" t="n">
        <f aca="false">(D38*F38)/12</f>
        <v>14.0791666666667</v>
      </c>
      <c r="H38" s="98"/>
      <c r="I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</row>
    <row r="39" customFormat="false" ht="13.2" hidden="false" customHeight="false" outlineLevel="0" collapsed="false">
      <c r="A39" s="119" t="n">
        <v>36</v>
      </c>
      <c r="B39" s="125" t="s">
        <v>455</v>
      </c>
      <c r="C39" s="121" t="s">
        <v>423</v>
      </c>
      <c r="D39" s="121" t="n">
        <v>10</v>
      </c>
      <c r="E39" s="121" t="s">
        <v>425</v>
      </c>
      <c r="F39" s="123" t="n">
        <v>11.79</v>
      </c>
      <c r="G39" s="124" t="n">
        <f aca="false">(D39*F39)/2</f>
        <v>58.95</v>
      </c>
      <c r="H39" s="98"/>
      <c r="I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</row>
    <row r="40" customFormat="false" ht="13.2" hidden="false" customHeight="false" outlineLevel="0" collapsed="false">
      <c r="A40" s="119" t="n">
        <v>37</v>
      </c>
      <c r="B40" s="125" t="s">
        <v>456</v>
      </c>
      <c r="C40" s="121" t="s">
        <v>457</v>
      </c>
      <c r="D40" s="121" t="n">
        <v>20</v>
      </c>
      <c r="E40" s="121" t="s">
        <v>403</v>
      </c>
      <c r="F40" s="123" t="n">
        <v>4.3</v>
      </c>
      <c r="G40" s="124" t="n">
        <f aca="false">(D40*F40)</f>
        <v>86</v>
      </c>
      <c r="H40" s="98"/>
      <c r="I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</row>
    <row r="41" customFormat="false" ht="24" hidden="false" customHeight="false" outlineLevel="0" collapsed="false">
      <c r="A41" s="119" t="n">
        <v>38</v>
      </c>
      <c r="B41" s="125" t="s">
        <v>458</v>
      </c>
      <c r="C41" s="121" t="s">
        <v>423</v>
      </c>
      <c r="D41" s="121" t="n">
        <v>2</v>
      </c>
      <c r="E41" s="121" t="s">
        <v>454</v>
      </c>
      <c r="F41" s="123" t="n">
        <v>77.91</v>
      </c>
      <c r="G41" s="124" t="n">
        <f aca="false">(D41*F41)/12</f>
        <v>12.985</v>
      </c>
      <c r="H41" s="98"/>
      <c r="I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</row>
    <row r="42" customFormat="false" ht="13.2" hidden="false" customHeight="false" outlineLevel="0" collapsed="false">
      <c r="A42" s="119" t="n">
        <v>39</v>
      </c>
      <c r="B42" s="125" t="s">
        <v>459</v>
      </c>
      <c r="C42" s="121" t="s">
        <v>423</v>
      </c>
      <c r="D42" s="121" t="n">
        <v>2</v>
      </c>
      <c r="E42" s="121" t="s">
        <v>454</v>
      </c>
      <c r="F42" s="123" t="n">
        <v>35.89</v>
      </c>
      <c r="G42" s="124" t="n">
        <f aca="false">(D42*F42)/12</f>
        <v>5.98166666666667</v>
      </c>
      <c r="H42" s="98"/>
      <c r="I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</row>
    <row r="43" customFormat="false" ht="13.2" hidden="false" customHeight="false" outlineLevel="0" collapsed="false">
      <c r="A43" s="119" t="n">
        <v>40</v>
      </c>
      <c r="B43" s="125" t="s">
        <v>460</v>
      </c>
      <c r="C43" s="121" t="s">
        <v>405</v>
      </c>
      <c r="D43" s="121" t="n">
        <v>12</v>
      </c>
      <c r="E43" s="121" t="s">
        <v>403</v>
      </c>
      <c r="F43" s="123" t="n">
        <v>6.66</v>
      </c>
      <c r="G43" s="124" t="n">
        <f aca="false">(D43*F43)</f>
        <v>79.92</v>
      </c>
      <c r="H43" s="98"/>
      <c r="I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</row>
    <row r="44" customFormat="false" ht="13.2" hidden="false" customHeight="false" outlineLevel="0" collapsed="false">
      <c r="A44" s="119" t="n">
        <v>41</v>
      </c>
      <c r="B44" s="125" t="s">
        <v>461</v>
      </c>
      <c r="C44" s="121" t="s">
        <v>457</v>
      </c>
      <c r="D44" s="121" t="n">
        <v>10</v>
      </c>
      <c r="E44" s="121" t="s">
        <v>403</v>
      </c>
      <c r="F44" s="123" t="n">
        <v>3.22</v>
      </c>
      <c r="G44" s="124" t="n">
        <f aca="false">(D44*F44)</f>
        <v>32.2</v>
      </c>
      <c r="H44" s="98"/>
      <c r="I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</row>
    <row r="45" customFormat="false" ht="13.2" hidden="false" customHeight="false" outlineLevel="0" collapsed="false">
      <c r="A45" s="119" t="n">
        <v>42</v>
      </c>
      <c r="B45" s="125" t="s">
        <v>462</v>
      </c>
      <c r="C45" s="121" t="s">
        <v>423</v>
      </c>
      <c r="D45" s="121" t="n">
        <v>2</v>
      </c>
      <c r="E45" s="121" t="s">
        <v>403</v>
      </c>
      <c r="F45" s="123" t="n">
        <v>16.82</v>
      </c>
      <c r="G45" s="124" t="n">
        <f aca="false">(D45*F45)</f>
        <v>33.64</v>
      </c>
      <c r="H45" s="98"/>
      <c r="I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</row>
    <row r="46" customFormat="false" ht="13.2" hidden="false" customHeight="false" outlineLevel="0" collapsed="false">
      <c r="A46" s="119" t="n">
        <v>43</v>
      </c>
      <c r="B46" s="125" t="s">
        <v>463</v>
      </c>
      <c r="C46" s="121" t="s">
        <v>423</v>
      </c>
      <c r="D46" s="121" t="n">
        <v>2</v>
      </c>
      <c r="E46" s="121" t="s">
        <v>403</v>
      </c>
      <c r="F46" s="123" t="n">
        <v>41.58</v>
      </c>
      <c r="G46" s="124" t="n">
        <f aca="false">(D46*F46)</f>
        <v>83.16</v>
      </c>
      <c r="H46" s="98"/>
      <c r="I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</row>
    <row r="47" customFormat="false" ht="13.2" hidden="false" customHeight="false" outlineLevel="0" collapsed="false">
      <c r="A47" s="119" t="n">
        <v>44</v>
      </c>
      <c r="B47" s="125" t="s">
        <v>464</v>
      </c>
      <c r="C47" s="121" t="s">
        <v>381</v>
      </c>
      <c r="D47" s="128" t="n">
        <v>100</v>
      </c>
      <c r="E47" s="121" t="s">
        <v>454</v>
      </c>
      <c r="F47" s="123" t="n">
        <v>7.4</v>
      </c>
      <c r="G47" s="124" t="n">
        <f aca="false">(D47*F47)/12</f>
        <v>61.6666666666667</v>
      </c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</row>
    <row r="48" customFormat="false" ht="24" hidden="false" customHeight="false" outlineLevel="0" collapsed="false">
      <c r="A48" s="119" t="n">
        <v>45</v>
      </c>
      <c r="B48" s="125" t="s">
        <v>465</v>
      </c>
      <c r="C48" s="121" t="s">
        <v>381</v>
      </c>
      <c r="D48" s="128" t="n">
        <v>1</v>
      </c>
      <c r="E48" s="121" t="s">
        <v>454</v>
      </c>
      <c r="F48" s="123" t="n">
        <v>176.62</v>
      </c>
      <c r="G48" s="124" t="n">
        <f aca="false">(D48*F48)/12</f>
        <v>14.7183333333333</v>
      </c>
    </row>
    <row r="49" customFormat="false" ht="12.8" hidden="false" customHeight="true" outlineLevel="0" collapsed="false">
      <c r="A49" s="129" t="s">
        <v>347</v>
      </c>
      <c r="B49" s="129"/>
      <c r="C49" s="129"/>
      <c r="D49" s="129"/>
      <c r="E49" s="129"/>
      <c r="F49" s="129"/>
      <c r="G49" s="130" t="n">
        <f aca="false">SUM(G4:G48)</f>
        <v>3353.26416666667</v>
      </c>
    </row>
    <row r="50" customFormat="false" ht="12.8" hidden="false" customHeight="false" outlineLevel="0" collapsed="false">
      <c r="A50" s="131" t="s">
        <v>386</v>
      </c>
      <c r="B50" s="131"/>
      <c r="C50" s="131"/>
      <c r="D50" s="131"/>
      <c r="E50" s="131"/>
      <c r="F50" s="131"/>
      <c r="G50" s="130" t="n">
        <f aca="false">G49*12</f>
        <v>40239.17</v>
      </c>
    </row>
    <row r="51" customFormat="false" ht="12.8" hidden="false" customHeight="false" outlineLevel="0" collapsed="false">
      <c r="A51" s="131" t="s">
        <v>387</v>
      </c>
      <c r="B51" s="131"/>
      <c r="C51" s="131"/>
      <c r="D51" s="131"/>
      <c r="E51" s="131"/>
      <c r="F51" s="131"/>
      <c r="G51" s="130" t="n">
        <f aca="false">G49/'Postos Necessários -CNP'!G19</f>
        <v>325.870367018581</v>
      </c>
    </row>
    <row r="52" customFormat="false" ht="12.8" hidden="false" customHeight="false" outlineLevel="0" collapsed="false">
      <c r="A52" s="132" t="s">
        <v>388</v>
      </c>
      <c r="B52" s="132"/>
      <c r="C52" s="132"/>
      <c r="D52" s="132"/>
      <c r="E52" s="132"/>
      <c r="F52" s="132"/>
      <c r="G52" s="133" t="n">
        <f aca="false">G51-(0.0925*G51)</f>
        <v>295.727358069362</v>
      </c>
    </row>
  </sheetData>
  <mergeCells count="5">
    <mergeCell ref="A1:G1"/>
    <mergeCell ref="A49:F49"/>
    <mergeCell ref="A50:F50"/>
    <mergeCell ref="A51:F51"/>
    <mergeCell ref="A52:F52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D9D9D9"/>
    <pageSetUpPr fitToPage="false"/>
  </sheetPr>
  <dimension ref="A1:Z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7.41"/>
    <col collapsed="false" customWidth="true" hidden="false" outlineLevel="0" max="3" min="3" style="0" width="14.43"/>
    <col collapsed="false" customWidth="true" hidden="false" outlineLevel="0" max="4" min="4" style="0" width="10.99"/>
    <col collapsed="false" customWidth="true" hidden="false" outlineLevel="0" max="5" min="5" style="0" width="8.86"/>
    <col collapsed="false" customWidth="true" hidden="false" outlineLevel="0" max="6" min="6" style="0" width="13.02"/>
    <col collapsed="false" customWidth="true" hidden="false" outlineLevel="0" max="7" min="7" style="0" width="9.71"/>
    <col collapsed="false" customWidth="true" hidden="false" outlineLevel="0" max="9" min="8" style="0" width="12.57"/>
    <col collapsed="false" customWidth="true" hidden="false" outlineLevel="0" max="26" min="10" style="0" width="8.71"/>
    <col collapsed="false" customWidth="true" hidden="false" outlineLevel="0" max="1025" min="27" style="0" width="14.43"/>
  </cols>
  <sheetData>
    <row r="1" customFormat="false" ht="18" hidden="false" customHeight="false" outlineLevel="0" collapsed="false">
      <c r="A1" s="116" t="s">
        <v>466</v>
      </c>
      <c r="B1" s="116"/>
      <c r="C1" s="116"/>
      <c r="D1" s="116"/>
      <c r="E1" s="116"/>
      <c r="F1" s="116"/>
      <c r="G1" s="116"/>
      <c r="H1" s="116"/>
      <c r="I1" s="116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customFormat="false" ht="12.75" hidden="false" customHeight="true" outlineLevel="0" collapsed="false">
      <c r="A2" s="135" t="s">
        <v>467</v>
      </c>
      <c r="B2" s="135"/>
      <c r="C2" s="135"/>
      <c r="D2" s="135"/>
      <c r="E2" s="135"/>
      <c r="F2" s="135"/>
      <c r="G2" s="135"/>
      <c r="H2" s="135"/>
      <c r="I2" s="135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customFormat="false" ht="12.75" hidden="false" customHeight="true" outlineLevel="0" collapsed="false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customFormat="false" ht="51" hidden="false" customHeight="false" outlineLevel="0" collapsed="false">
      <c r="A4" s="72" t="s">
        <v>179</v>
      </c>
      <c r="B4" s="72" t="s">
        <v>10</v>
      </c>
      <c r="C4" s="72" t="s">
        <v>468</v>
      </c>
      <c r="D4" s="72" t="s">
        <v>469</v>
      </c>
      <c r="E4" s="72" t="s">
        <v>470</v>
      </c>
      <c r="F4" s="136" t="s">
        <v>471</v>
      </c>
      <c r="G4" s="136" t="s">
        <v>472</v>
      </c>
      <c r="H4" s="136" t="s">
        <v>473</v>
      </c>
      <c r="I4" s="136" t="s">
        <v>474</v>
      </c>
      <c r="J4" s="134"/>
      <c r="K4" s="134"/>
      <c r="L4" s="134"/>
      <c r="M4" s="137"/>
      <c r="N4" s="137"/>
      <c r="O4" s="137"/>
      <c r="P4" s="137"/>
      <c r="Q4" s="137"/>
      <c r="R4" s="137"/>
      <c r="S4" s="137"/>
      <c r="T4" s="134"/>
      <c r="U4" s="134"/>
      <c r="V4" s="134"/>
      <c r="W4" s="134"/>
      <c r="X4" s="134"/>
      <c r="Y4" s="134"/>
      <c r="Z4" s="134"/>
    </row>
    <row r="5" customFormat="false" ht="14.25" hidden="false" customHeight="false" outlineLevel="0" collapsed="false">
      <c r="A5" s="138" t="s">
        <v>475</v>
      </c>
      <c r="B5" s="139" t="n">
        <v>1</v>
      </c>
      <c r="C5" s="140" t="n">
        <v>374.36</v>
      </c>
      <c r="D5" s="140" t="n">
        <f aca="false">AVERAGE(C5)</f>
        <v>374.36</v>
      </c>
      <c r="E5" s="140" t="n">
        <f aca="false">D5*B5</f>
        <v>374.36</v>
      </c>
      <c r="F5" s="141" t="n">
        <f aca="false">0.0025*E5</f>
        <v>0.9359</v>
      </c>
      <c r="G5" s="142" t="n">
        <v>60</v>
      </c>
      <c r="H5" s="141" t="n">
        <f aca="false">IF(G5&lt;&gt;"",(E5)/G5,"")</f>
        <v>6.23933333333333</v>
      </c>
      <c r="I5" s="141" t="n">
        <f aca="false">F5+H5</f>
        <v>7.17523333333333</v>
      </c>
      <c r="J5" s="134"/>
      <c r="K5" s="134"/>
      <c r="L5" s="134"/>
      <c r="M5" s="137"/>
      <c r="N5" s="137"/>
      <c r="O5" s="137"/>
      <c r="P5" s="137"/>
      <c r="Q5" s="137"/>
      <c r="R5" s="137"/>
      <c r="S5" s="137"/>
      <c r="T5" s="134"/>
      <c r="U5" s="134"/>
      <c r="V5" s="134"/>
      <c r="W5" s="134"/>
      <c r="X5" s="134"/>
      <c r="Y5" s="134"/>
      <c r="Z5" s="134"/>
    </row>
    <row r="6" customFormat="false" ht="25.5" hidden="false" customHeight="false" outlineLevel="0" collapsed="false">
      <c r="A6" s="138" t="s">
        <v>476</v>
      </c>
      <c r="B6" s="139" t="n">
        <v>1</v>
      </c>
      <c r="C6" s="140" t="n">
        <v>2239.37</v>
      </c>
      <c r="D6" s="140" t="n">
        <f aca="false">AVERAGE(C6)</f>
        <v>2239.37</v>
      </c>
      <c r="E6" s="140" t="n">
        <f aca="false">D6*B6</f>
        <v>2239.37</v>
      </c>
      <c r="F6" s="141" t="n">
        <f aca="false">0.0025*E6</f>
        <v>5.598425</v>
      </c>
      <c r="G6" s="142" t="n">
        <v>60</v>
      </c>
      <c r="H6" s="141" t="n">
        <f aca="false">IF(G6&lt;&gt;"",(E6)/G6,"")</f>
        <v>37.3228333333333</v>
      </c>
      <c r="I6" s="141" t="n">
        <f aca="false">F6+H6</f>
        <v>42.9212583333333</v>
      </c>
      <c r="J6" s="134"/>
      <c r="K6" s="134"/>
      <c r="L6" s="134"/>
      <c r="M6" s="137"/>
      <c r="N6" s="137"/>
      <c r="O6" s="137"/>
      <c r="P6" s="137"/>
      <c r="Q6" s="137"/>
      <c r="R6" s="137"/>
      <c r="S6" s="137"/>
      <c r="T6" s="134"/>
      <c r="U6" s="134"/>
      <c r="V6" s="134"/>
      <c r="W6" s="134"/>
      <c r="X6" s="134"/>
      <c r="Y6" s="134"/>
      <c r="Z6" s="134"/>
    </row>
    <row r="7" customFormat="false" ht="25.5" hidden="false" customHeight="false" outlineLevel="0" collapsed="false">
      <c r="A7" s="138" t="s">
        <v>477</v>
      </c>
      <c r="B7" s="139" t="n">
        <v>1</v>
      </c>
      <c r="C7" s="140" t="n">
        <v>1516</v>
      </c>
      <c r="D7" s="140" t="n">
        <f aca="false">AVERAGE(C7)</f>
        <v>1516</v>
      </c>
      <c r="E7" s="140" t="n">
        <f aca="false">D7*B7</f>
        <v>1516</v>
      </c>
      <c r="F7" s="141" t="n">
        <f aca="false">0.0025*E7</f>
        <v>3.79</v>
      </c>
      <c r="G7" s="142" t="n">
        <v>60</v>
      </c>
      <c r="H7" s="141" t="n">
        <f aca="false">IF(G7&lt;&gt;"",(E7)/G7,"")</f>
        <v>25.2666666666667</v>
      </c>
      <c r="I7" s="141" t="n">
        <f aca="false">F7+H7</f>
        <v>29.0566666666667</v>
      </c>
      <c r="J7" s="134"/>
      <c r="K7" s="134"/>
      <c r="L7" s="134"/>
      <c r="M7" s="137"/>
      <c r="N7" s="137"/>
      <c r="O7" s="137"/>
      <c r="P7" s="137"/>
      <c r="Q7" s="137"/>
      <c r="R7" s="137"/>
      <c r="S7" s="137"/>
      <c r="T7" s="134"/>
      <c r="U7" s="134"/>
      <c r="V7" s="134"/>
      <c r="W7" s="134"/>
      <c r="X7" s="134"/>
      <c r="Y7" s="134"/>
      <c r="Z7" s="134"/>
    </row>
    <row r="8" customFormat="false" ht="54" hidden="false" customHeight="true" outlineLevel="0" collapsed="false">
      <c r="A8" s="138" t="s">
        <v>478</v>
      </c>
      <c r="B8" s="139" t="n">
        <v>2</v>
      </c>
      <c r="C8" s="140" t="n">
        <v>828.4</v>
      </c>
      <c r="D8" s="140" t="n">
        <f aca="false">AVERAGE(C8)</f>
        <v>828.4</v>
      </c>
      <c r="E8" s="140" t="n">
        <f aca="false">D8*B8</f>
        <v>1656.8</v>
      </c>
      <c r="F8" s="141" t="n">
        <f aca="false">0.0025*E8</f>
        <v>4.142</v>
      </c>
      <c r="G8" s="142" t="n">
        <v>60</v>
      </c>
      <c r="H8" s="141" t="n">
        <f aca="false">IF(G8&lt;&gt;"",(E8)/G8,"")</f>
        <v>27.6133333333333</v>
      </c>
      <c r="I8" s="141" t="n">
        <f aca="false">F8+H8</f>
        <v>31.7553333333333</v>
      </c>
      <c r="J8" s="134"/>
      <c r="K8" s="134"/>
      <c r="L8" s="134"/>
      <c r="M8" s="137"/>
      <c r="N8" s="137"/>
      <c r="O8" s="137"/>
      <c r="P8" s="137"/>
      <c r="Q8" s="137"/>
      <c r="R8" s="137"/>
      <c r="S8" s="137"/>
      <c r="T8" s="134"/>
      <c r="U8" s="134"/>
      <c r="V8" s="134"/>
      <c r="W8" s="134"/>
      <c r="X8" s="134"/>
      <c r="Y8" s="134"/>
      <c r="Z8" s="134"/>
    </row>
    <row r="9" customFormat="false" ht="13.8" hidden="false" customHeight="false" outlineLevel="0" collapsed="false">
      <c r="A9" s="138" t="s">
        <v>479</v>
      </c>
      <c r="B9" s="139" t="n">
        <v>1</v>
      </c>
      <c r="C9" s="140" t="n">
        <v>1337.5</v>
      </c>
      <c r="D9" s="140" t="n">
        <v>1675.08</v>
      </c>
      <c r="E9" s="140" t="n">
        <f aca="false">D9</f>
        <v>1675.08</v>
      </c>
      <c r="F9" s="141" t="n">
        <f aca="false">0.0025*E9</f>
        <v>4.1877</v>
      </c>
      <c r="G9" s="142" t="n">
        <v>60</v>
      </c>
      <c r="H9" s="141" t="n">
        <f aca="false">IF(G9&lt;&gt;"",(E9)/G9,"")</f>
        <v>27.918</v>
      </c>
      <c r="I9" s="141" t="n">
        <f aca="false">F9+H9</f>
        <v>32.1057</v>
      </c>
      <c r="J9" s="134"/>
      <c r="K9" s="134"/>
      <c r="L9" s="134"/>
      <c r="M9" s="137"/>
      <c r="N9" s="137"/>
      <c r="O9" s="137"/>
      <c r="P9" s="137"/>
      <c r="Q9" s="137"/>
      <c r="R9" s="137"/>
      <c r="S9" s="137"/>
      <c r="T9" s="134"/>
      <c r="U9" s="134"/>
      <c r="V9" s="134"/>
      <c r="W9" s="134"/>
      <c r="X9" s="134"/>
      <c r="Y9" s="134"/>
      <c r="Z9" s="134"/>
    </row>
    <row r="10" customFormat="false" ht="12.75" hidden="false" customHeight="true" outlineLevel="0" collapsed="false">
      <c r="A10" s="143" t="s">
        <v>480</v>
      </c>
      <c r="B10" s="143"/>
      <c r="C10" s="143"/>
      <c r="D10" s="143"/>
      <c r="E10" s="143"/>
      <c r="F10" s="143"/>
      <c r="G10" s="143"/>
      <c r="H10" s="143"/>
      <c r="I10" s="144" t="n">
        <f aca="false">SUM(I5:I9)</f>
        <v>143.014191666667</v>
      </c>
      <c r="J10" s="134"/>
      <c r="K10" s="134"/>
      <c r="L10" s="134"/>
      <c r="M10" s="137"/>
      <c r="N10" s="137"/>
      <c r="O10" s="137"/>
      <c r="P10" s="137"/>
      <c r="Q10" s="137"/>
      <c r="R10" s="137"/>
      <c r="S10" s="137"/>
      <c r="T10" s="134"/>
      <c r="U10" s="134"/>
      <c r="V10" s="134"/>
      <c r="W10" s="134"/>
      <c r="X10" s="134"/>
      <c r="Y10" s="134"/>
      <c r="Z10" s="134"/>
    </row>
    <row r="11" customFormat="false" ht="12.75" hidden="false" customHeight="true" outlineLevel="0" collapsed="false">
      <c r="A11" s="145" t="s">
        <v>386</v>
      </c>
      <c r="B11" s="145"/>
      <c r="C11" s="145"/>
      <c r="D11" s="145"/>
      <c r="E11" s="145"/>
      <c r="F11" s="145"/>
      <c r="G11" s="145"/>
      <c r="H11" s="145"/>
      <c r="I11" s="146" t="n">
        <f aca="false">I10*12</f>
        <v>1716.1703</v>
      </c>
      <c r="J11" s="134"/>
      <c r="K11" s="134"/>
      <c r="L11" s="134"/>
      <c r="M11" s="137"/>
      <c r="N11" s="137"/>
      <c r="O11" s="137"/>
      <c r="P11" s="137"/>
      <c r="Q11" s="137"/>
      <c r="R11" s="137"/>
      <c r="S11" s="137"/>
      <c r="T11" s="134"/>
      <c r="U11" s="134"/>
      <c r="V11" s="134"/>
      <c r="W11" s="134"/>
      <c r="X11" s="134"/>
      <c r="Y11" s="134"/>
      <c r="Z11" s="134"/>
    </row>
    <row r="12" customFormat="false" ht="12.75" hidden="false" customHeight="true" outlineLevel="0" collapsed="false">
      <c r="A12" s="145" t="s">
        <v>481</v>
      </c>
      <c r="B12" s="145"/>
      <c r="C12" s="145"/>
      <c r="D12" s="145"/>
      <c r="E12" s="145"/>
      <c r="F12" s="145"/>
      <c r="G12" s="145"/>
      <c r="H12" s="145"/>
      <c r="I12" s="146" t="n">
        <f aca="false">I10/'Postos Necessários -CNP'!G19</f>
        <v>13.8981257696764</v>
      </c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</row>
    <row r="13" customFormat="false" ht="12.75" hidden="false" customHeight="true" outlineLevel="0" collapsed="false">
      <c r="A13" s="147" t="s">
        <v>388</v>
      </c>
      <c r="B13" s="147"/>
      <c r="C13" s="147"/>
      <c r="D13" s="147"/>
      <c r="E13" s="147"/>
      <c r="F13" s="147"/>
      <c r="G13" s="147"/>
      <c r="H13" s="147"/>
      <c r="I13" s="148" t="n">
        <f aca="false">I12-(0.0925*I12)</f>
        <v>12.6125491359813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</row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</sheetData>
  <mergeCells count="6">
    <mergeCell ref="A1:I1"/>
    <mergeCell ref="A2:I2"/>
    <mergeCell ref="A10:H10"/>
    <mergeCell ref="A11:H11"/>
    <mergeCell ref="A12:H12"/>
    <mergeCell ref="A13:H13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H110" activeCellId="0" sqref="H110"/>
    </sheetView>
  </sheetViews>
  <sheetFormatPr defaultRowHeight="13.8" zeroHeight="false" outlineLevelRow="0" outlineLevelCol="0"/>
  <cols>
    <col collapsed="false" customWidth="true" hidden="false" outlineLevel="0" max="2" min="1" style="149" width="18.47"/>
    <col collapsed="false" customWidth="true" hidden="false" outlineLevel="0" max="5" min="3" style="150" width="18.47"/>
    <col collapsed="false" customWidth="true" hidden="false" outlineLevel="0" max="8" min="6" style="149" width="18.47"/>
    <col collapsed="false" customWidth="true" hidden="false" outlineLevel="0" max="9" min="9" style="149" width="18.76"/>
    <col collapsed="false" customWidth="false" hidden="false" outlineLevel="0" max="10" min="10" style="149" width="11.52"/>
    <col collapsed="false" customWidth="true" hidden="false" outlineLevel="0" max="11" min="11" style="149" width="15.97"/>
    <col collapsed="false" customWidth="false" hidden="false" outlineLevel="0" max="1025" min="12" style="149" width="11.52"/>
  </cols>
  <sheetData>
    <row r="1" customFormat="false" ht="13.8" hidden="false" customHeight="true" outlineLevel="0" collapsed="false">
      <c r="A1" s="8" t="s">
        <v>482</v>
      </c>
      <c r="B1" s="8"/>
      <c r="C1" s="8"/>
      <c r="D1" s="8"/>
      <c r="E1" s="8"/>
      <c r="F1" s="8"/>
      <c r="G1" s="8"/>
      <c r="H1" s="8"/>
    </row>
    <row r="2" customFormat="false" ht="13.8" hidden="false" customHeight="false" outlineLevel="0" collapsed="false">
      <c r="A2" s="151"/>
      <c r="B2" s="8"/>
      <c r="C2" s="8"/>
      <c r="D2" s="8"/>
      <c r="E2" s="8"/>
    </row>
    <row r="3" customFormat="false" ht="13.8" hidden="false" customHeight="true" outlineLevel="0" collapsed="false">
      <c r="A3" s="152" t="s">
        <v>483</v>
      </c>
      <c r="B3" s="152"/>
      <c r="C3" s="152"/>
      <c r="D3" s="152"/>
      <c r="E3" s="152"/>
      <c r="G3" s="153"/>
      <c r="H3" s="153"/>
      <c r="I3" s="153"/>
      <c r="J3" s="153"/>
      <c r="K3" s="153"/>
      <c r="L3" s="153"/>
      <c r="M3" s="153"/>
    </row>
    <row r="4" customFormat="false" ht="37.3" hidden="false" customHeight="false" outlineLevel="0" collapsed="false">
      <c r="A4" s="154" t="s">
        <v>484</v>
      </c>
      <c r="B4" s="154" t="s">
        <v>485</v>
      </c>
      <c r="C4" s="154" t="s">
        <v>486</v>
      </c>
      <c r="D4" s="154" t="s">
        <v>487</v>
      </c>
      <c r="E4" s="154" t="s">
        <v>488</v>
      </c>
      <c r="G4" s="155"/>
      <c r="H4" s="156"/>
      <c r="I4" s="156"/>
      <c r="J4" s="156"/>
      <c r="K4" s="157"/>
      <c r="L4" s="153"/>
      <c r="M4" s="153"/>
    </row>
    <row r="5" customFormat="false" ht="13.8" hidden="false" customHeight="true" outlineLevel="0" collapsed="false">
      <c r="A5" s="158" t="s">
        <v>489</v>
      </c>
      <c r="B5" s="159" t="s">
        <v>490</v>
      </c>
      <c r="C5" s="160" t="n">
        <f aca="false">1/800</f>
        <v>0.00125</v>
      </c>
      <c r="D5" s="161" t="n">
        <f aca="false">Serviço!D153</f>
        <v>4421.07580799182</v>
      </c>
      <c r="E5" s="162" t="n">
        <f aca="false">C5*D5</f>
        <v>5.52634475998977</v>
      </c>
      <c r="G5" s="163"/>
      <c r="H5" s="163"/>
      <c r="I5" s="163"/>
      <c r="J5" s="163"/>
      <c r="K5" s="163"/>
      <c r="L5" s="153"/>
      <c r="M5" s="153"/>
    </row>
    <row r="6" customFormat="false" ht="13.8" hidden="false" customHeight="false" outlineLevel="0" collapsed="false">
      <c r="A6" s="158"/>
      <c r="B6" s="159" t="s">
        <v>491</v>
      </c>
      <c r="C6" s="160" t="n">
        <f aca="false">1/(30*800)</f>
        <v>4.16666666666667E-005</v>
      </c>
      <c r="D6" s="161" t="n">
        <f aca="false">'Serviço Líder'!D153</f>
        <v>4930.07052319297</v>
      </c>
      <c r="E6" s="162" t="n">
        <f aca="false">C6*D6</f>
        <v>0.205419605133041</v>
      </c>
      <c r="G6" s="164"/>
      <c r="H6" s="165"/>
      <c r="I6" s="166"/>
      <c r="J6" s="167"/>
      <c r="K6" s="168"/>
      <c r="L6" s="153"/>
      <c r="M6" s="153"/>
    </row>
    <row r="7" s="151" customFormat="true" ht="13.8" hidden="false" customHeight="true" outlineLevel="0" collapsed="false">
      <c r="A7" s="154" t="s">
        <v>25</v>
      </c>
      <c r="B7" s="154"/>
      <c r="C7" s="154"/>
      <c r="D7" s="154"/>
      <c r="E7" s="169" t="n">
        <f aca="false">SUM(E5:E6)</f>
        <v>5.73176436512281</v>
      </c>
      <c r="G7" s="164"/>
      <c r="H7" s="170"/>
      <c r="I7" s="166"/>
      <c r="J7" s="167"/>
      <c r="K7" s="168"/>
      <c r="L7" s="171"/>
      <c r="M7" s="171"/>
    </row>
    <row r="8" customFormat="false" ht="13.8" hidden="false" customHeight="true" outlineLevel="0" collapsed="false">
      <c r="A8" s="158" t="s">
        <v>492</v>
      </c>
      <c r="B8" s="159" t="s">
        <v>490</v>
      </c>
      <c r="C8" s="160" t="n">
        <f aca="false">1/1200</f>
        <v>0.000833333333333333</v>
      </c>
      <c r="D8" s="161" t="n">
        <f aca="false">$D$5</f>
        <v>4421.07580799182</v>
      </c>
      <c r="E8" s="162" t="n">
        <f aca="false">C8*D8</f>
        <v>3.68422983999318</v>
      </c>
      <c r="G8" s="164"/>
      <c r="H8" s="170"/>
      <c r="I8" s="166"/>
      <c r="J8" s="167"/>
      <c r="K8" s="168"/>
      <c r="L8" s="153"/>
      <c r="M8" s="153"/>
    </row>
    <row r="9" customFormat="false" ht="13.8" hidden="false" customHeight="false" outlineLevel="0" collapsed="false">
      <c r="A9" s="158"/>
      <c r="B9" s="159" t="s">
        <v>491</v>
      </c>
      <c r="C9" s="160" t="n">
        <f aca="false">1/(30*1200)</f>
        <v>2.77777777777778E-005</v>
      </c>
      <c r="D9" s="161" t="n">
        <f aca="false">D6</f>
        <v>4930.07052319297</v>
      </c>
      <c r="E9" s="162" t="n">
        <f aca="false">C9*D9</f>
        <v>0.136946403422027</v>
      </c>
      <c r="G9" s="164"/>
      <c r="H9" s="170"/>
      <c r="I9" s="166"/>
      <c r="J9" s="167"/>
      <c r="K9" s="168"/>
      <c r="L9" s="153"/>
      <c r="M9" s="153"/>
    </row>
    <row r="10" s="151" customFormat="true" ht="13.8" hidden="false" customHeight="true" outlineLevel="0" collapsed="false">
      <c r="A10" s="154" t="s">
        <v>25</v>
      </c>
      <c r="B10" s="154"/>
      <c r="C10" s="154"/>
      <c r="D10" s="154"/>
      <c r="E10" s="169" t="n">
        <f aca="false">SUM(E8:E9)</f>
        <v>3.82117624341521</v>
      </c>
      <c r="G10" s="164"/>
      <c r="H10" s="170"/>
      <c r="I10" s="166"/>
      <c r="J10" s="167"/>
      <c r="K10" s="168"/>
      <c r="L10" s="171"/>
      <c r="M10" s="171"/>
    </row>
    <row r="11" s="151" customFormat="true" ht="13.8" hidden="false" customHeight="true" outlineLevel="0" collapsed="false">
      <c r="A11" s="158" t="s">
        <v>493</v>
      </c>
      <c r="B11" s="159" t="s">
        <v>490</v>
      </c>
      <c r="C11" s="160" t="n">
        <f aca="false">1/1000</f>
        <v>0.001</v>
      </c>
      <c r="D11" s="161" t="n">
        <f aca="false">D5</f>
        <v>4421.07580799182</v>
      </c>
      <c r="E11" s="162" t="n">
        <f aca="false">C11*D11</f>
        <v>4.42107580799182</v>
      </c>
      <c r="G11" s="164"/>
      <c r="H11" s="170"/>
      <c r="I11" s="166"/>
      <c r="J11" s="167"/>
      <c r="K11" s="168"/>
      <c r="L11" s="171"/>
      <c r="M11" s="171"/>
    </row>
    <row r="12" s="151" customFormat="true" ht="13.8" hidden="false" customHeight="false" outlineLevel="0" collapsed="false">
      <c r="A12" s="158"/>
      <c r="B12" s="159" t="s">
        <v>491</v>
      </c>
      <c r="C12" s="160" t="n">
        <f aca="false">1/(30*1000)</f>
        <v>3.33333333333333E-005</v>
      </c>
      <c r="D12" s="161" t="n">
        <f aca="false">D6</f>
        <v>4930.07052319297</v>
      </c>
      <c r="E12" s="162" t="n">
        <f aca="false">C12*D12</f>
        <v>0.164335684106432</v>
      </c>
      <c r="G12" s="164"/>
      <c r="H12" s="170"/>
      <c r="I12" s="166"/>
      <c r="J12" s="167"/>
      <c r="K12" s="168"/>
      <c r="L12" s="171"/>
      <c r="M12" s="171"/>
    </row>
    <row r="13" s="151" customFormat="true" ht="13.8" hidden="false" customHeight="true" outlineLevel="0" collapsed="false">
      <c r="A13" s="154" t="s">
        <v>25</v>
      </c>
      <c r="B13" s="154"/>
      <c r="C13" s="154"/>
      <c r="D13" s="154"/>
      <c r="E13" s="169" t="n">
        <f aca="false">SUM(E11:E12)</f>
        <v>4.58541149209825</v>
      </c>
      <c r="G13" s="164"/>
      <c r="H13" s="170"/>
      <c r="I13" s="166"/>
      <c r="J13" s="167"/>
      <c r="K13" s="168"/>
      <c r="L13" s="171"/>
      <c r="M13" s="171"/>
    </row>
    <row r="14" customFormat="false" ht="13.8" hidden="false" customHeight="false" outlineLevel="0" collapsed="false">
      <c r="G14" s="164"/>
      <c r="H14" s="170"/>
      <c r="I14" s="166"/>
      <c r="J14" s="167"/>
      <c r="K14" s="168"/>
      <c r="L14" s="153"/>
      <c r="M14" s="153"/>
    </row>
    <row r="15" customFormat="false" ht="13.8" hidden="false" customHeight="true" outlineLevel="0" collapsed="false">
      <c r="A15" s="152" t="s">
        <v>494</v>
      </c>
      <c r="B15" s="152"/>
      <c r="C15" s="152"/>
      <c r="D15" s="152"/>
      <c r="E15" s="152"/>
      <c r="G15" s="164"/>
      <c r="H15" s="165"/>
      <c r="I15" s="166"/>
      <c r="J15" s="167"/>
      <c r="K15" s="168"/>
      <c r="L15" s="153"/>
      <c r="M15" s="153"/>
    </row>
    <row r="16" customFormat="false" ht="37.5" hidden="false" customHeight="false" outlineLevel="0" collapsed="false">
      <c r="A16" s="154" t="s">
        <v>484</v>
      </c>
      <c r="B16" s="154" t="s">
        <v>485</v>
      </c>
      <c r="C16" s="154" t="s">
        <v>486</v>
      </c>
      <c r="D16" s="154" t="s">
        <v>487</v>
      </c>
      <c r="E16" s="154" t="s">
        <v>488</v>
      </c>
      <c r="G16" s="164"/>
      <c r="H16" s="165"/>
      <c r="I16" s="166"/>
      <c r="J16" s="167"/>
      <c r="K16" s="168"/>
      <c r="L16" s="153"/>
      <c r="M16" s="153"/>
    </row>
    <row r="17" customFormat="false" ht="13.8" hidden="false" customHeight="true" outlineLevel="0" collapsed="false">
      <c r="A17" s="158" t="s">
        <v>495</v>
      </c>
      <c r="B17" s="159" t="s">
        <v>490</v>
      </c>
      <c r="C17" s="172" t="n">
        <f aca="false">1/1500</f>
        <v>0.000666666666666667</v>
      </c>
      <c r="D17" s="161" t="n">
        <f aca="false">$D$5</f>
        <v>4421.07580799182</v>
      </c>
      <c r="E17" s="162" t="n">
        <f aca="false">C17*D17</f>
        <v>2.94738387199455</v>
      </c>
      <c r="G17" s="164"/>
      <c r="H17" s="165"/>
      <c r="I17" s="166"/>
      <c r="J17" s="167"/>
      <c r="K17" s="168"/>
      <c r="L17" s="153"/>
      <c r="M17" s="153"/>
    </row>
    <row r="18" customFormat="false" ht="15" hidden="false" customHeight="false" outlineLevel="0" collapsed="false">
      <c r="A18" s="158"/>
      <c r="B18" s="159" t="s">
        <v>491</v>
      </c>
      <c r="C18" s="160" t="n">
        <f aca="false">1/(30*1500)</f>
        <v>2.22222222222222E-005</v>
      </c>
      <c r="D18" s="161" t="n">
        <f aca="false">'Serviço Líder'!D153</f>
        <v>4930.07052319297</v>
      </c>
      <c r="E18" s="162" t="n">
        <f aca="false">C18*D18</f>
        <v>0.109557122737621</v>
      </c>
      <c r="G18" s="173"/>
      <c r="H18" s="173"/>
      <c r="I18" s="174"/>
      <c r="J18" s="175"/>
      <c r="K18" s="176"/>
      <c r="L18" s="153"/>
      <c r="M18" s="153"/>
    </row>
    <row r="19" customFormat="false" ht="13.8" hidden="false" customHeight="true" outlineLevel="0" collapsed="false">
      <c r="A19" s="154" t="s">
        <v>25</v>
      </c>
      <c r="B19" s="154"/>
      <c r="C19" s="154"/>
      <c r="D19" s="154"/>
      <c r="E19" s="169" t="n">
        <f aca="false">SUM(E17:E18)</f>
        <v>3.05694099473217</v>
      </c>
      <c r="G19" s="153"/>
      <c r="H19" s="153"/>
      <c r="I19" s="153"/>
      <c r="J19" s="153"/>
      <c r="K19" s="153"/>
      <c r="L19" s="153"/>
      <c r="M19" s="153"/>
    </row>
    <row r="20" customFormat="false" ht="13.8" hidden="false" customHeight="true" outlineLevel="0" collapsed="false">
      <c r="A20" s="158" t="s">
        <v>496</v>
      </c>
      <c r="B20" s="159" t="s">
        <v>490</v>
      </c>
      <c r="C20" s="160" t="n">
        <f aca="false">1/2500</f>
        <v>0.0004</v>
      </c>
      <c r="D20" s="161" t="n">
        <f aca="false">$D$5</f>
        <v>4421.07580799182</v>
      </c>
      <c r="E20" s="162" t="n">
        <f aca="false">C20*D20</f>
        <v>1.76843032319673</v>
      </c>
      <c r="G20" s="153"/>
      <c r="H20" s="153"/>
      <c r="I20" s="153"/>
      <c r="J20" s="153"/>
      <c r="K20" s="153"/>
      <c r="L20" s="153"/>
      <c r="M20" s="153"/>
    </row>
    <row r="21" customFormat="false" ht="13.8" hidden="false" customHeight="false" outlineLevel="0" collapsed="false">
      <c r="A21" s="158"/>
      <c r="B21" s="159" t="s">
        <v>491</v>
      </c>
      <c r="C21" s="160" t="n">
        <f aca="false">1/(30*2500)</f>
        <v>1.33333333333333E-005</v>
      </c>
      <c r="D21" s="161" t="n">
        <f aca="false">'Serviço Líder'!D153</f>
        <v>4930.07052319297</v>
      </c>
      <c r="E21" s="162" t="n">
        <f aca="false">C21*D21</f>
        <v>0.0657342736425728</v>
      </c>
      <c r="G21" s="153"/>
      <c r="H21" s="153"/>
      <c r="I21" s="153"/>
      <c r="J21" s="153"/>
      <c r="K21" s="153"/>
      <c r="L21" s="153"/>
      <c r="M21" s="153"/>
    </row>
    <row r="22" customFormat="false" ht="13.8" hidden="false" customHeight="true" outlineLevel="0" collapsed="false">
      <c r="A22" s="154" t="s">
        <v>25</v>
      </c>
      <c r="B22" s="154"/>
      <c r="C22" s="154"/>
      <c r="D22" s="154"/>
      <c r="E22" s="169" t="n">
        <f aca="false">SUM(E20:E21)</f>
        <v>1.8341645968393</v>
      </c>
      <c r="G22" s="177"/>
      <c r="H22" s="177"/>
      <c r="I22" s="177"/>
      <c r="J22" s="177"/>
      <c r="K22" s="177"/>
      <c r="L22" s="153"/>
      <c r="M22" s="153"/>
    </row>
    <row r="23" customFormat="false" ht="13.8" hidden="false" customHeight="true" outlineLevel="0" collapsed="false">
      <c r="A23" s="158" t="s">
        <v>497</v>
      </c>
      <c r="B23" s="159" t="s">
        <v>490</v>
      </c>
      <c r="C23" s="160" t="n">
        <f aca="false">1/2000</f>
        <v>0.0005</v>
      </c>
      <c r="D23" s="161" t="n">
        <f aca="false">D17</f>
        <v>4421.07580799182</v>
      </c>
      <c r="E23" s="162" t="n">
        <f aca="false">C23*D23</f>
        <v>2.21053790399591</v>
      </c>
      <c r="G23" s="177"/>
      <c r="H23" s="177"/>
      <c r="I23" s="177"/>
      <c r="J23" s="177"/>
      <c r="K23" s="177"/>
      <c r="L23" s="153"/>
      <c r="M23" s="153"/>
    </row>
    <row r="24" customFormat="false" ht="13.8" hidden="false" customHeight="false" outlineLevel="0" collapsed="false">
      <c r="A24" s="158"/>
      <c r="B24" s="159" t="s">
        <v>491</v>
      </c>
      <c r="C24" s="160" t="n">
        <f aca="false">1/(30*2000)</f>
        <v>1.66666666666667E-005</v>
      </c>
      <c r="D24" s="161" t="n">
        <f aca="false">D18</f>
        <v>4930.07052319297</v>
      </c>
      <c r="E24" s="162" t="n">
        <f aca="false">C24*D24</f>
        <v>0.0821678420532163</v>
      </c>
      <c r="G24" s="177"/>
      <c r="H24" s="177"/>
      <c r="I24" s="177"/>
      <c r="J24" s="177"/>
      <c r="K24" s="177"/>
      <c r="L24" s="153"/>
      <c r="M24" s="153"/>
    </row>
    <row r="25" customFormat="false" ht="13.8" hidden="false" customHeight="true" outlineLevel="0" collapsed="false">
      <c r="A25" s="154" t="s">
        <v>25</v>
      </c>
      <c r="B25" s="154"/>
      <c r="C25" s="154"/>
      <c r="D25" s="154"/>
      <c r="E25" s="169" t="n">
        <f aca="false">SUM(E23:E24)</f>
        <v>2.29270574604912</v>
      </c>
      <c r="G25" s="177"/>
      <c r="H25" s="177"/>
      <c r="I25" s="177"/>
      <c r="J25" s="177"/>
      <c r="K25" s="177"/>
      <c r="L25" s="153"/>
      <c r="M25" s="153"/>
    </row>
    <row r="26" customFormat="false" ht="13.8" hidden="false" customHeight="false" outlineLevel="0" collapsed="false">
      <c r="G26" s="177"/>
      <c r="H26" s="177"/>
      <c r="I26" s="177"/>
      <c r="J26" s="177"/>
      <c r="K26" s="177"/>
      <c r="L26" s="153"/>
      <c r="M26" s="153"/>
    </row>
    <row r="27" customFormat="false" ht="13.8" hidden="false" customHeight="true" outlineLevel="0" collapsed="false">
      <c r="A27" s="152" t="s">
        <v>498</v>
      </c>
      <c r="B27" s="152"/>
      <c r="C27" s="152"/>
      <c r="D27" s="152"/>
      <c r="E27" s="152"/>
      <c r="G27" s="177"/>
      <c r="H27" s="177"/>
      <c r="I27" s="177"/>
      <c r="J27" s="177"/>
      <c r="K27" s="177"/>
      <c r="L27" s="153"/>
      <c r="M27" s="153"/>
    </row>
    <row r="28" customFormat="false" ht="37.5" hidden="false" customHeight="false" outlineLevel="0" collapsed="false">
      <c r="A28" s="154" t="s">
        <v>484</v>
      </c>
      <c r="B28" s="154" t="s">
        <v>485</v>
      </c>
      <c r="C28" s="154" t="s">
        <v>486</v>
      </c>
      <c r="D28" s="154" t="s">
        <v>487</v>
      </c>
      <c r="E28" s="154" t="s">
        <v>488</v>
      </c>
      <c r="G28" s="177"/>
      <c r="H28" s="177"/>
      <c r="I28" s="177"/>
      <c r="J28" s="177"/>
      <c r="K28" s="177"/>
      <c r="L28" s="153"/>
      <c r="M28" s="153"/>
    </row>
    <row r="29" customFormat="false" ht="13.8" hidden="false" customHeight="true" outlineLevel="0" collapsed="false">
      <c r="A29" s="158" t="s">
        <v>492</v>
      </c>
      <c r="B29" s="159" t="s">
        <v>490</v>
      </c>
      <c r="C29" s="160" t="n">
        <f aca="false">1/1200</f>
        <v>0.000833333333333333</v>
      </c>
      <c r="D29" s="161" t="n">
        <f aca="false">$D$5</f>
        <v>4421.07580799182</v>
      </c>
      <c r="E29" s="162" t="n">
        <f aca="false">C29*D29</f>
        <v>3.68422983999318</v>
      </c>
      <c r="G29" s="177"/>
      <c r="H29" s="177"/>
      <c r="I29" s="177"/>
      <c r="J29" s="177"/>
      <c r="K29" s="177"/>
      <c r="L29" s="153"/>
      <c r="M29" s="153"/>
    </row>
    <row r="30" customFormat="false" ht="13.8" hidden="false" customHeight="false" outlineLevel="0" collapsed="false">
      <c r="A30" s="158"/>
      <c r="B30" s="159" t="s">
        <v>491</v>
      </c>
      <c r="C30" s="160" t="n">
        <f aca="false">1/(30*1200)</f>
        <v>2.77777777777778E-005</v>
      </c>
      <c r="D30" s="161" t="n">
        <f aca="false">'Serviço Líder'!D153</f>
        <v>4930.07052319297</v>
      </c>
      <c r="E30" s="162" t="n">
        <f aca="false">C30*D30</f>
        <v>0.136946403422027</v>
      </c>
      <c r="G30" s="177"/>
      <c r="H30" s="177"/>
      <c r="I30" s="177"/>
      <c r="J30" s="177"/>
      <c r="K30" s="177"/>
      <c r="L30" s="153"/>
      <c r="M30" s="153"/>
    </row>
    <row r="31" customFormat="false" ht="13.8" hidden="false" customHeight="true" outlineLevel="0" collapsed="false">
      <c r="A31" s="154" t="s">
        <v>25</v>
      </c>
      <c r="B31" s="154"/>
      <c r="C31" s="154"/>
      <c r="D31" s="154"/>
      <c r="E31" s="169" t="n">
        <f aca="false">SUM(E29:E30)</f>
        <v>3.82117624341521</v>
      </c>
      <c r="G31" s="177"/>
      <c r="H31" s="177"/>
      <c r="I31" s="177"/>
      <c r="J31" s="177"/>
      <c r="K31" s="177"/>
      <c r="L31" s="153"/>
      <c r="M31" s="153"/>
    </row>
    <row r="32" customFormat="false" ht="13.8" hidden="false" customHeight="true" outlineLevel="0" collapsed="false">
      <c r="A32" s="158" t="s">
        <v>499</v>
      </c>
      <c r="B32" s="159" t="s">
        <v>490</v>
      </c>
      <c r="C32" s="160" t="n">
        <f aca="false">1/1800</f>
        <v>0.000555555555555556</v>
      </c>
      <c r="D32" s="161" t="n">
        <f aca="false">$D$5</f>
        <v>4421.07580799182</v>
      </c>
      <c r="E32" s="162" t="n">
        <f aca="false">C32*D32</f>
        <v>2.45615322666212</v>
      </c>
      <c r="G32" s="177"/>
      <c r="H32" s="177"/>
      <c r="I32" s="177"/>
      <c r="J32" s="177"/>
      <c r="K32" s="177"/>
      <c r="L32" s="153"/>
      <c r="M32" s="153"/>
    </row>
    <row r="33" customFormat="false" ht="13.8" hidden="false" customHeight="false" outlineLevel="0" collapsed="false">
      <c r="A33" s="158"/>
      <c r="B33" s="159" t="s">
        <v>491</v>
      </c>
      <c r="C33" s="160" t="n">
        <f aca="false">1/(30*1800)</f>
        <v>1.85185185185185E-005</v>
      </c>
      <c r="D33" s="161" t="n">
        <f aca="false">'Serviço Líder'!D153</f>
        <v>4930.07052319297</v>
      </c>
      <c r="E33" s="162" t="n">
        <f aca="false">C33*D33</f>
        <v>0.0912976022813512</v>
      </c>
      <c r="G33" s="177"/>
      <c r="H33" s="177"/>
      <c r="I33" s="177"/>
      <c r="J33" s="177"/>
      <c r="K33" s="177"/>
      <c r="L33" s="153"/>
      <c r="M33" s="153"/>
    </row>
    <row r="34" customFormat="false" ht="13.8" hidden="false" customHeight="false" outlineLevel="0" collapsed="false">
      <c r="A34" s="159"/>
      <c r="B34" s="159"/>
      <c r="C34" s="160"/>
      <c r="D34" s="161"/>
      <c r="E34" s="162"/>
      <c r="G34" s="177"/>
      <c r="H34" s="177"/>
      <c r="I34" s="177"/>
      <c r="J34" s="177"/>
      <c r="K34" s="177"/>
      <c r="L34" s="153"/>
      <c r="M34" s="153"/>
    </row>
    <row r="35" customFormat="false" ht="13.8" hidden="false" customHeight="true" outlineLevel="0" collapsed="false">
      <c r="A35" s="154" t="s">
        <v>25</v>
      </c>
      <c r="B35" s="154"/>
      <c r="C35" s="154"/>
      <c r="D35" s="154"/>
      <c r="E35" s="169" t="n">
        <f aca="false">SUM(E32:E33)</f>
        <v>2.54745082894347</v>
      </c>
      <c r="G35" s="177"/>
      <c r="H35" s="177"/>
      <c r="I35" s="177"/>
      <c r="J35" s="177"/>
      <c r="K35" s="177"/>
      <c r="L35" s="153"/>
      <c r="M35" s="153"/>
    </row>
    <row r="36" customFormat="false" ht="13.8" hidden="false" customHeight="true" outlineLevel="0" collapsed="false">
      <c r="A36" s="158" t="s">
        <v>495</v>
      </c>
      <c r="B36" s="159" t="s">
        <v>490</v>
      </c>
      <c r="C36" s="160" t="n">
        <f aca="false">1/1500</f>
        <v>0.000666666666666667</v>
      </c>
      <c r="D36" s="161" t="n">
        <f aca="false">$D$5</f>
        <v>4421.07580799182</v>
      </c>
      <c r="E36" s="162" t="n">
        <f aca="false">C36*D36</f>
        <v>2.94738387199455</v>
      </c>
      <c r="G36" s="177"/>
      <c r="H36" s="177"/>
      <c r="I36" s="177"/>
      <c r="J36" s="177"/>
      <c r="K36" s="177"/>
      <c r="L36" s="153"/>
      <c r="M36" s="153"/>
    </row>
    <row r="37" customFormat="false" ht="13.8" hidden="false" customHeight="false" outlineLevel="0" collapsed="false">
      <c r="A37" s="158"/>
      <c r="B37" s="159" t="s">
        <v>491</v>
      </c>
      <c r="C37" s="160" t="n">
        <f aca="false">1/(30*1500)</f>
        <v>2.22222222222222E-005</v>
      </c>
      <c r="D37" s="161" t="n">
        <f aca="false">D33</f>
        <v>4930.07052319297</v>
      </c>
      <c r="E37" s="162" t="n">
        <f aca="false">C37*D37</f>
        <v>0.109557122737621</v>
      </c>
      <c r="G37" s="177"/>
      <c r="H37" s="177"/>
      <c r="I37" s="177"/>
      <c r="J37" s="177"/>
      <c r="K37" s="177"/>
      <c r="L37" s="153"/>
      <c r="M37" s="153"/>
    </row>
    <row r="38" customFormat="false" ht="13.8" hidden="false" customHeight="false" outlineLevel="0" collapsed="false">
      <c r="A38" s="154"/>
      <c r="B38" s="178"/>
      <c r="C38" s="154"/>
      <c r="D38" s="178"/>
      <c r="E38" s="169" t="n">
        <f aca="false">E36+E37</f>
        <v>3.05694099473217</v>
      </c>
      <c r="G38" s="177"/>
      <c r="H38" s="177"/>
      <c r="I38" s="177"/>
      <c r="J38" s="177"/>
      <c r="K38" s="177"/>
      <c r="L38" s="153"/>
      <c r="M38" s="153"/>
    </row>
    <row r="39" customFormat="false" ht="13.8" hidden="false" customHeight="false" outlineLevel="0" collapsed="false">
      <c r="G39" s="177"/>
      <c r="H39" s="177"/>
      <c r="I39" s="177"/>
      <c r="J39" s="177"/>
      <c r="K39" s="177"/>
      <c r="L39" s="153"/>
      <c r="M39" s="153"/>
    </row>
    <row r="40" customFormat="false" ht="13.8" hidden="false" customHeight="true" outlineLevel="0" collapsed="false">
      <c r="A40" s="152" t="s">
        <v>500</v>
      </c>
      <c r="B40" s="152"/>
      <c r="C40" s="152"/>
      <c r="D40" s="152"/>
      <c r="E40" s="152"/>
      <c r="G40" s="177"/>
      <c r="H40" s="177"/>
      <c r="I40" s="177"/>
      <c r="J40" s="177"/>
      <c r="K40" s="177"/>
      <c r="L40" s="153"/>
      <c r="M40" s="153"/>
    </row>
    <row r="41" customFormat="false" ht="37.5" hidden="false" customHeight="false" outlineLevel="0" collapsed="false">
      <c r="A41" s="154" t="s">
        <v>484</v>
      </c>
      <c r="B41" s="154" t="s">
        <v>485</v>
      </c>
      <c r="C41" s="154" t="s">
        <v>486</v>
      </c>
      <c r="D41" s="154" t="s">
        <v>487</v>
      </c>
      <c r="E41" s="154" t="s">
        <v>488</v>
      </c>
      <c r="G41" s="153"/>
      <c r="H41" s="153"/>
      <c r="I41" s="153"/>
      <c r="J41" s="153"/>
      <c r="K41" s="153"/>
      <c r="L41" s="153"/>
      <c r="M41" s="153"/>
    </row>
    <row r="42" customFormat="false" ht="13.8" hidden="false" customHeight="true" outlineLevel="0" collapsed="false">
      <c r="A42" s="158" t="s">
        <v>493</v>
      </c>
      <c r="B42" s="159" t="s">
        <v>490</v>
      </c>
      <c r="C42" s="160" t="n">
        <f aca="false">1/1000</f>
        <v>0.001</v>
      </c>
      <c r="D42" s="161" t="n">
        <f aca="false">$D$5</f>
        <v>4421.07580799182</v>
      </c>
      <c r="E42" s="162" t="n">
        <f aca="false">C42*D42</f>
        <v>4.42107580799182</v>
      </c>
      <c r="G42" s="153"/>
      <c r="H42" s="153"/>
      <c r="I42" s="153"/>
      <c r="J42" s="153"/>
      <c r="K42" s="153"/>
      <c r="L42" s="153"/>
      <c r="M42" s="153"/>
    </row>
    <row r="43" customFormat="false" ht="13.8" hidden="false" customHeight="false" outlineLevel="0" collapsed="false">
      <c r="A43" s="158"/>
      <c r="B43" s="159" t="s">
        <v>491</v>
      </c>
      <c r="C43" s="160" t="n">
        <f aca="false">1/(30*1000)</f>
        <v>3.33333333333333E-005</v>
      </c>
      <c r="D43" s="161" t="n">
        <f aca="false">'Serviço Líder'!D153</f>
        <v>4930.07052319297</v>
      </c>
      <c r="E43" s="162" t="n">
        <f aca="false">C43*D43</f>
        <v>0.164335684106432</v>
      </c>
      <c r="G43" s="153"/>
      <c r="H43" s="153"/>
      <c r="I43" s="153"/>
      <c r="J43" s="153"/>
      <c r="K43" s="153"/>
      <c r="L43" s="153"/>
      <c r="M43" s="153"/>
    </row>
    <row r="44" customFormat="false" ht="13.8" hidden="false" customHeight="true" outlineLevel="0" collapsed="false">
      <c r="A44" s="154" t="s">
        <v>25</v>
      </c>
      <c r="B44" s="154"/>
      <c r="C44" s="154"/>
      <c r="D44" s="154"/>
      <c r="E44" s="169" t="n">
        <f aca="false">SUM(E42:E43)</f>
        <v>4.58541149209825</v>
      </c>
      <c r="G44" s="153"/>
      <c r="H44" s="153"/>
      <c r="I44" s="153"/>
      <c r="J44" s="153"/>
      <c r="K44" s="153"/>
      <c r="L44" s="153"/>
      <c r="M44" s="153"/>
    </row>
    <row r="45" customFormat="false" ht="13.8" hidden="false" customHeight="true" outlineLevel="0" collapsed="false">
      <c r="A45" s="158" t="s">
        <v>495</v>
      </c>
      <c r="B45" s="159" t="s">
        <v>490</v>
      </c>
      <c r="C45" s="160" t="n">
        <f aca="false">1/1500</f>
        <v>0.000666666666666667</v>
      </c>
      <c r="D45" s="161" t="n">
        <f aca="false">$D$5</f>
        <v>4421.07580799182</v>
      </c>
      <c r="E45" s="162" t="n">
        <f aca="false">C45*D45</f>
        <v>2.94738387199455</v>
      </c>
      <c r="G45" s="153"/>
      <c r="H45" s="153"/>
      <c r="I45" s="153"/>
      <c r="J45" s="153"/>
      <c r="K45" s="153"/>
      <c r="L45" s="153"/>
      <c r="M45" s="153"/>
    </row>
    <row r="46" customFormat="false" ht="13.8" hidden="false" customHeight="false" outlineLevel="0" collapsed="false">
      <c r="A46" s="158"/>
      <c r="B46" s="159" t="s">
        <v>491</v>
      </c>
      <c r="C46" s="160" t="n">
        <f aca="false">1/(30*1500)</f>
        <v>2.22222222222222E-005</v>
      </c>
      <c r="D46" s="161" t="n">
        <f aca="false">'Serviço Líder'!D153</f>
        <v>4930.07052319297</v>
      </c>
      <c r="E46" s="162" t="n">
        <f aca="false">C46*D46</f>
        <v>0.109557122737621</v>
      </c>
      <c r="G46" s="153"/>
      <c r="H46" s="153"/>
      <c r="I46" s="153"/>
      <c r="J46" s="153"/>
      <c r="K46" s="153"/>
      <c r="L46" s="153"/>
      <c r="M46" s="153"/>
    </row>
    <row r="47" customFormat="false" ht="13.8" hidden="false" customHeight="true" outlineLevel="0" collapsed="false">
      <c r="A47" s="154" t="s">
        <v>25</v>
      </c>
      <c r="B47" s="154"/>
      <c r="C47" s="154"/>
      <c r="D47" s="154"/>
      <c r="E47" s="169" t="n">
        <f aca="false">SUM(E45:E46)</f>
        <v>3.05694099473217</v>
      </c>
      <c r="G47" s="153"/>
      <c r="H47" s="153"/>
      <c r="I47" s="153"/>
      <c r="J47" s="153"/>
      <c r="K47" s="153"/>
      <c r="L47" s="153"/>
      <c r="M47" s="153"/>
    </row>
    <row r="48" customFormat="false" ht="13.8" hidden="false" customHeight="true" outlineLevel="0" collapsed="false">
      <c r="A48" s="158" t="s">
        <v>501</v>
      </c>
      <c r="B48" s="159" t="s">
        <v>490</v>
      </c>
      <c r="C48" s="160" t="n">
        <f aca="false">1/1250</f>
        <v>0.0008</v>
      </c>
      <c r="D48" s="161" t="n">
        <f aca="false">$D$5</f>
        <v>4421.07580799182</v>
      </c>
      <c r="E48" s="162" t="n">
        <f aca="false">C48*D48</f>
        <v>3.53686064639345</v>
      </c>
      <c r="G48" s="153"/>
      <c r="H48" s="153"/>
      <c r="I48" s="153"/>
      <c r="J48" s="153"/>
      <c r="K48" s="153"/>
      <c r="L48" s="153"/>
      <c r="M48" s="153"/>
    </row>
    <row r="49" customFormat="false" ht="13.8" hidden="false" customHeight="false" outlineLevel="0" collapsed="false">
      <c r="A49" s="158"/>
      <c r="B49" s="159" t="s">
        <v>491</v>
      </c>
      <c r="C49" s="160" t="n">
        <f aca="false">1/(30*1250)</f>
        <v>2.66666666666667E-005</v>
      </c>
      <c r="D49" s="161" t="n">
        <f aca="false">D46</f>
        <v>4930.07052319297</v>
      </c>
      <c r="E49" s="162" t="n">
        <f aca="false">C49*D49</f>
        <v>0.131468547285146</v>
      </c>
      <c r="G49" s="153"/>
      <c r="H49" s="153"/>
      <c r="I49" s="153"/>
      <c r="J49" s="153"/>
      <c r="K49" s="153"/>
      <c r="L49" s="153"/>
      <c r="M49" s="153"/>
    </row>
    <row r="50" customFormat="false" ht="13.8" hidden="false" customHeight="false" outlineLevel="0" collapsed="false">
      <c r="A50" s="154"/>
      <c r="B50" s="178"/>
      <c r="C50" s="154"/>
      <c r="D50" s="178"/>
      <c r="E50" s="169" t="n">
        <f aca="false">E48+E49</f>
        <v>3.6683291936786</v>
      </c>
      <c r="G50" s="153"/>
      <c r="H50" s="153"/>
      <c r="I50" s="153"/>
      <c r="J50" s="153"/>
      <c r="K50" s="153"/>
      <c r="L50" s="153"/>
      <c r="M50" s="153"/>
    </row>
    <row r="51" customFormat="false" ht="13.8" hidden="false" customHeight="false" outlineLevel="0" collapsed="false">
      <c r="G51" s="153"/>
      <c r="H51" s="153"/>
      <c r="I51" s="153"/>
      <c r="J51" s="153"/>
      <c r="K51" s="153"/>
      <c r="L51" s="153"/>
      <c r="M51" s="153"/>
    </row>
    <row r="52" customFormat="false" ht="13.8" hidden="false" customHeight="true" outlineLevel="0" collapsed="false">
      <c r="A52" s="152" t="s">
        <v>502</v>
      </c>
      <c r="B52" s="152"/>
      <c r="C52" s="152"/>
      <c r="D52" s="152"/>
      <c r="E52" s="152"/>
      <c r="G52" s="153"/>
      <c r="H52" s="153"/>
      <c r="I52" s="153"/>
      <c r="J52" s="153"/>
      <c r="K52" s="153"/>
      <c r="L52" s="153"/>
      <c r="M52" s="153"/>
    </row>
    <row r="53" customFormat="false" ht="37.5" hidden="false" customHeight="false" outlineLevel="0" collapsed="false">
      <c r="A53" s="154" t="s">
        <v>484</v>
      </c>
      <c r="B53" s="154" t="s">
        <v>485</v>
      </c>
      <c r="C53" s="154" t="s">
        <v>486</v>
      </c>
      <c r="D53" s="154" t="s">
        <v>487</v>
      </c>
      <c r="E53" s="154" t="s">
        <v>488</v>
      </c>
      <c r="G53" s="153"/>
      <c r="H53" s="153"/>
      <c r="I53" s="153"/>
      <c r="J53" s="153"/>
      <c r="K53" s="153"/>
      <c r="L53" s="153"/>
      <c r="M53" s="153"/>
    </row>
    <row r="54" customFormat="false" ht="13.8" hidden="false" customHeight="true" outlineLevel="0" collapsed="false">
      <c r="A54" s="158" t="s">
        <v>503</v>
      </c>
      <c r="B54" s="159" t="s">
        <v>490</v>
      </c>
      <c r="C54" s="160" t="n">
        <f aca="false">1/360</f>
        <v>0.00277777777777778</v>
      </c>
      <c r="D54" s="161" t="n">
        <f aca="false">$D$5</f>
        <v>4421.07580799182</v>
      </c>
      <c r="E54" s="162" t="n">
        <f aca="false">C54*D54</f>
        <v>12.2807661333106</v>
      </c>
      <c r="G54" s="153"/>
      <c r="H54" s="153"/>
      <c r="I54" s="153"/>
      <c r="J54" s="153"/>
      <c r="K54" s="153"/>
      <c r="L54" s="153"/>
      <c r="M54" s="153"/>
    </row>
    <row r="55" customFormat="false" ht="13.8" hidden="false" customHeight="false" outlineLevel="0" collapsed="false">
      <c r="A55" s="158"/>
      <c r="B55" s="159" t="s">
        <v>491</v>
      </c>
      <c r="C55" s="160" t="n">
        <f aca="false">1/(30*360)</f>
        <v>9.25925925925926E-005</v>
      </c>
      <c r="D55" s="161" t="n">
        <f aca="false">'Serviço Líder'!D153</f>
        <v>4930.07052319297</v>
      </c>
      <c r="E55" s="162" t="n">
        <f aca="false">C55*D55</f>
        <v>0.456488011406757</v>
      </c>
      <c r="G55" s="153"/>
      <c r="H55" s="153"/>
      <c r="I55" s="153"/>
      <c r="J55" s="153"/>
      <c r="K55" s="153"/>
      <c r="L55" s="153"/>
      <c r="M55" s="153"/>
    </row>
    <row r="56" customFormat="false" ht="13.8" hidden="false" customHeight="true" outlineLevel="0" collapsed="false">
      <c r="A56" s="154" t="s">
        <v>25</v>
      </c>
      <c r="B56" s="154"/>
      <c r="C56" s="154"/>
      <c r="D56" s="154"/>
      <c r="E56" s="169" t="n">
        <f aca="false">SUM(E54:E55)</f>
        <v>12.7372541447174</v>
      </c>
      <c r="G56" s="153"/>
      <c r="H56" s="153"/>
      <c r="I56" s="153"/>
      <c r="J56" s="153"/>
      <c r="K56" s="153"/>
      <c r="L56" s="153"/>
      <c r="M56" s="153"/>
    </row>
    <row r="57" customFormat="false" ht="13.8" hidden="false" customHeight="true" outlineLevel="0" collapsed="false">
      <c r="A57" s="158" t="s">
        <v>504</v>
      </c>
      <c r="B57" s="159" t="s">
        <v>490</v>
      </c>
      <c r="C57" s="160" t="n">
        <f aca="false">1/450</f>
        <v>0.00222222222222222</v>
      </c>
      <c r="D57" s="161" t="n">
        <f aca="false">$D$5</f>
        <v>4421.07580799182</v>
      </c>
      <c r="E57" s="162" t="n">
        <f aca="false">C57*D57</f>
        <v>9.82461290664847</v>
      </c>
      <c r="G57" s="153"/>
      <c r="H57" s="153"/>
      <c r="I57" s="153"/>
      <c r="J57" s="153"/>
      <c r="K57" s="153"/>
      <c r="L57" s="153"/>
      <c r="M57" s="153"/>
    </row>
    <row r="58" customFormat="false" ht="13.8" hidden="false" customHeight="false" outlineLevel="0" collapsed="false">
      <c r="A58" s="158"/>
      <c r="B58" s="159" t="s">
        <v>491</v>
      </c>
      <c r="C58" s="160" t="n">
        <f aca="false">1/(30*450)</f>
        <v>7.40740740740741E-005</v>
      </c>
      <c r="D58" s="161" t="n">
        <f aca="false">'Serviço Líder'!D153</f>
        <v>4930.07052319297</v>
      </c>
      <c r="E58" s="162" t="n">
        <f aca="false">C58*D58</f>
        <v>0.365190409125405</v>
      </c>
      <c r="G58" s="153"/>
      <c r="H58" s="153"/>
      <c r="I58" s="153"/>
      <c r="J58" s="153"/>
      <c r="K58" s="153"/>
      <c r="L58" s="153"/>
      <c r="M58" s="153"/>
    </row>
    <row r="59" customFormat="false" ht="13.8" hidden="false" customHeight="true" outlineLevel="0" collapsed="false">
      <c r="A59" s="154" t="s">
        <v>25</v>
      </c>
      <c r="B59" s="154"/>
      <c r="C59" s="154"/>
      <c r="D59" s="154"/>
      <c r="E59" s="169" t="n">
        <f aca="false">SUM(E57:E58)</f>
        <v>10.1898033157739</v>
      </c>
      <c r="G59" s="153"/>
      <c r="H59" s="153"/>
      <c r="I59" s="153"/>
      <c r="J59" s="153"/>
      <c r="K59" s="153"/>
      <c r="L59" s="153"/>
      <c r="M59" s="153"/>
    </row>
    <row r="60" customFormat="false" ht="13.8" hidden="false" customHeight="true" outlineLevel="0" collapsed="false">
      <c r="A60" s="158" t="s">
        <v>505</v>
      </c>
      <c r="B60" s="159" t="s">
        <v>490</v>
      </c>
      <c r="C60" s="160" t="n">
        <f aca="false">1/405</f>
        <v>0.00246913580246914</v>
      </c>
      <c r="D60" s="161" t="n">
        <f aca="false">D57</f>
        <v>4421.07580799182</v>
      </c>
      <c r="E60" s="162" t="n">
        <f aca="false">C60*D60</f>
        <v>10.9162365629428</v>
      </c>
    </row>
    <row r="61" customFormat="false" ht="13.8" hidden="false" customHeight="false" outlineLevel="0" collapsed="false">
      <c r="A61" s="158"/>
      <c r="B61" s="159" t="s">
        <v>491</v>
      </c>
      <c r="C61" s="160" t="n">
        <f aca="false">1/(30*405)</f>
        <v>8.23045267489712E-005</v>
      </c>
      <c r="D61" s="161" t="n">
        <f aca="false">D58</f>
        <v>4930.07052319297</v>
      </c>
      <c r="E61" s="162" t="n">
        <f aca="false">C61*D61</f>
        <v>0.40576712125045</v>
      </c>
    </row>
    <row r="62" customFormat="false" ht="13.8" hidden="false" customHeight="true" outlineLevel="0" collapsed="false">
      <c r="A62" s="154" t="s">
        <v>25</v>
      </c>
      <c r="B62" s="154"/>
      <c r="C62" s="154"/>
      <c r="D62" s="154"/>
      <c r="E62" s="179" t="n">
        <f aca="false">E61+E60</f>
        <v>11.3220036841932</v>
      </c>
    </row>
    <row r="64" customFormat="false" ht="13.8" hidden="false" customHeight="true" outlineLevel="0" collapsed="false">
      <c r="A64" s="152" t="s">
        <v>506</v>
      </c>
      <c r="B64" s="152"/>
      <c r="C64" s="152"/>
      <c r="D64" s="152"/>
      <c r="E64" s="152"/>
    </row>
    <row r="65" customFormat="false" ht="37.3" hidden="false" customHeight="false" outlineLevel="0" collapsed="false">
      <c r="A65" s="154" t="s">
        <v>484</v>
      </c>
      <c r="B65" s="154" t="s">
        <v>485</v>
      </c>
      <c r="C65" s="154" t="s">
        <v>486</v>
      </c>
      <c r="D65" s="154" t="s">
        <v>487</v>
      </c>
      <c r="E65" s="154" t="s">
        <v>488</v>
      </c>
    </row>
    <row r="66" customFormat="false" ht="13.8" hidden="false" customHeight="true" outlineLevel="0" collapsed="false">
      <c r="A66" s="158" t="s">
        <v>507</v>
      </c>
      <c r="B66" s="159" t="s">
        <v>490</v>
      </c>
      <c r="C66" s="160" t="n">
        <f aca="false">1/200</f>
        <v>0.005</v>
      </c>
      <c r="D66" s="161" t="n">
        <f aca="false">'Serviço Insalubridade'!D154</f>
        <v>5405.72220121142</v>
      </c>
      <c r="E66" s="162" t="n">
        <f aca="false">C66*D66</f>
        <v>27.0286110060571</v>
      </c>
    </row>
    <row r="67" customFormat="false" ht="13.8" hidden="false" customHeight="false" outlineLevel="0" collapsed="false">
      <c r="A67" s="158"/>
      <c r="B67" s="159" t="s">
        <v>491</v>
      </c>
      <c r="C67" s="160" t="n">
        <f aca="false">1/(30*200)</f>
        <v>0.000166666666666667</v>
      </c>
      <c r="D67" s="161" t="n">
        <f aca="false">'Serviço Líder'!D153</f>
        <v>4930.07052319297</v>
      </c>
      <c r="E67" s="162" t="n">
        <f aca="false">C67*D67</f>
        <v>0.821678420532163</v>
      </c>
    </row>
    <row r="68" customFormat="false" ht="13.8" hidden="false" customHeight="true" outlineLevel="0" collapsed="false">
      <c r="A68" s="154" t="s">
        <v>25</v>
      </c>
      <c r="B68" s="154"/>
      <c r="C68" s="154"/>
      <c r="D68" s="154"/>
      <c r="E68" s="169" t="n">
        <f aca="false">SUM(E66:E67)</f>
        <v>27.8502894265893</v>
      </c>
    </row>
    <row r="69" customFormat="false" ht="13.8" hidden="false" customHeight="true" outlineLevel="0" collapsed="false">
      <c r="A69" s="158" t="s">
        <v>508</v>
      </c>
      <c r="B69" s="159" t="s">
        <v>490</v>
      </c>
      <c r="C69" s="160" t="n">
        <f aca="false">1/300</f>
        <v>0.00333333333333333</v>
      </c>
      <c r="D69" s="161" t="n">
        <f aca="false">D66</f>
        <v>5405.72220121142</v>
      </c>
      <c r="E69" s="162" t="n">
        <f aca="false">C69*D69</f>
        <v>18.0190740040381</v>
      </c>
    </row>
    <row r="70" customFormat="false" ht="13.8" hidden="false" customHeight="false" outlineLevel="0" collapsed="false">
      <c r="A70" s="158"/>
      <c r="B70" s="159" t="s">
        <v>491</v>
      </c>
      <c r="C70" s="160" t="n">
        <f aca="false">1/(30*300)</f>
        <v>0.000111111111111111</v>
      </c>
      <c r="D70" s="161" t="n">
        <f aca="false">D67</f>
        <v>4930.07052319297</v>
      </c>
      <c r="E70" s="162" t="n">
        <f aca="false">C70*D70</f>
        <v>0.547785613688107</v>
      </c>
    </row>
    <row r="71" customFormat="false" ht="13.8" hidden="false" customHeight="true" outlineLevel="0" collapsed="false">
      <c r="A71" s="154" t="s">
        <v>25</v>
      </c>
      <c r="B71" s="154"/>
      <c r="C71" s="154"/>
      <c r="D71" s="154"/>
      <c r="E71" s="169" t="n">
        <f aca="false">SUM(E69:E70)</f>
        <v>18.5668596177262</v>
      </c>
    </row>
    <row r="72" customFormat="false" ht="13.8" hidden="false" customHeight="true" outlineLevel="0" collapsed="false">
      <c r="A72" s="158" t="s">
        <v>509</v>
      </c>
      <c r="B72" s="159" t="s">
        <v>490</v>
      </c>
      <c r="C72" s="160" t="n">
        <f aca="false">1/250</f>
        <v>0.004</v>
      </c>
      <c r="D72" s="161" t="n">
        <f aca="false">D69</f>
        <v>5405.72220121142</v>
      </c>
      <c r="E72" s="162" t="n">
        <f aca="false">C72*D72</f>
        <v>21.6228888048457</v>
      </c>
    </row>
    <row r="73" customFormat="false" ht="13.8" hidden="false" customHeight="false" outlineLevel="0" collapsed="false">
      <c r="A73" s="158"/>
      <c r="B73" s="159" t="s">
        <v>491</v>
      </c>
      <c r="C73" s="160" t="n">
        <f aca="false">1/(30*250)</f>
        <v>0.000133333333333333</v>
      </c>
      <c r="D73" s="161" t="n">
        <f aca="false">D70</f>
        <v>4930.07052319297</v>
      </c>
      <c r="E73" s="162" t="n">
        <f aca="false">C73*D73</f>
        <v>0.657342736425728</v>
      </c>
    </row>
    <row r="74" customFormat="false" ht="13.8" hidden="false" customHeight="true" outlineLevel="0" collapsed="false">
      <c r="A74" s="154" t="s">
        <v>25</v>
      </c>
      <c r="B74" s="154"/>
      <c r="C74" s="154"/>
      <c r="D74" s="154"/>
      <c r="E74" s="169" t="n">
        <f aca="false">SUM(E72:E73)</f>
        <v>22.2802315412714</v>
      </c>
    </row>
    <row r="76" customFormat="false" ht="13.8" hidden="false" customHeight="true" outlineLevel="0" collapsed="false">
      <c r="A76" s="152" t="s">
        <v>510</v>
      </c>
      <c r="B76" s="152"/>
      <c r="C76" s="152"/>
      <c r="D76" s="152"/>
      <c r="E76" s="152"/>
    </row>
    <row r="77" customFormat="false" ht="37.3" hidden="false" customHeight="false" outlineLevel="0" collapsed="false">
      <c r="A77" s="154" t="s">
        <v>484</v>
      </c>
      <c r="B77" s="154" t="s">
        <v>485</v>
      </c>
      <c r="C77" s="154" t="s">
        <v>486</v>
      </c>
      <c r="D77" s="154" t="s">
        <v>487</v>
      </c>
      <c r="E77" s="154" t="s">
        <v>488</v>
      </c>
    </row>
    <row r="78" customFormat="false" ht="13.8" hidden="false" customHeight="true" outlineLevel="0" collapsed="false">
      <c r="A78" s="158" t="s">
        <v>499</v>
      </c>
      <c r="B78" s="159" t="s">
        <v>490</v>
      </c>
      <c r="C78" s="160" t="n">
        <f aca="false">1/1800</f>
        <v>0.000555555555555556</v>
      </c>
      <c r="D78" s="161" t="n">
        <f aca="false">$D$5</f>
        <v>4421.07580799182</v>
      </c>
      <c r="E78" s="162" t="n">
        <f aca="false">C78*D78</f>
        <v>2.45615322666212</v>
      </c>
      <c r="I78" s="180"/>
    </row>
    <row r="79" customFormat="false" ht="13.8" hidden="false" customHeight="false" outlineLevel="0" collapsed="false">
      <c r="A79" s="158"/>
      <c r="B79" s="159" t="s">
        <v>491</v>
      </c>
      <c r="C79" s="160" t="n">
        <f aca="false">1/(30*1800)</f>
        <v>1.85185185185185E-005</v>
      </c>
      <c r="D79" s="161" t="n">
        <f aca="false">'Serviço Líder'!D153</f>
        <v>4930.07052319297</v>
      </c>
      <c r="E79" s="162" t="n">
        <f aca="false">C79*D79</f>
        <v>0.0912976022813512</v>
      </c>
    </row>
    <row r="80" customFormat="false" ht="13.8" hidden="false" customHeight="true" outlineLevel="0" collapsed="false">
      <c r="A80" s="154" t="s">
        <v>25</v>
      </c>
      <c r="B80" s="154"/>
      <c r="C80" s="154"/>
      <c r="D80" s="154"/>
      <c r="E80" s="169" t="n">
        <f aca="false">SUM(E78:E79)</f>
        <v>2.54745082894347</v>
      </c>
    </row>
    <row r="81" customFormat="false" ht="13.8" hidden="false" customHeight="true" outlineLevel="0" collapsed="false">
      <c r="A81" s="158" t="s">
        <v>511</v>
      </c>
      <c r="B81" s="159" t="s">
        <v>490</v>
      </c>
      <c r="C81" s="160" t="n">
        <f aca="false">1/2700</f>
        <v>0.00037037037037037</v>
      </c>
      <c r="D81" s="161" t="n">
        <f aca="false">$D$5</f>
        <v>4421.07580799182</v>
      </c>
      <c r="E81" s="162" t="n">
        <f aca="false">C81*D81</f>
        <v>1.63743548444141</v>
      </c>
    </row>
    <row r="82" customFormat="false" ht="13.8" hidden="false" customHeight="false" outlineLevel="0" collapsed="false">
      <c r="A82" s="158"/>
      <c r="B82" s="159" t="s">
        <v>491</v>
      </c>
      <c r="C82" s="160" t="n">
        <f aca="false">1/(30*2700)</f>
        <v>1.23456790123457E-005</v>
      </c>
      <c r="D82" s="161" t="n">
        <f aca="false">'Serviço Líder'!D153</f>
        <v>4930.07052319297</v>
      </c>
      <c r="E82" s="162" t="n">
        <f aca="false">C82*D82</f>
        <v>0.0608650681875676</v>
      </c>
    </row>
    <row r="83" customFormat="false" ht="13.8" hidden="false" customHeight="true" outlineLevel="0" collapsed="false">
      <c r="A83" s="154" t="s">
        <v>25</v>
      </c>
      <c r="B83" s="154"/>
      <c r="C83" s="154"/>
      <c r="D83" s="154"/>
      <c r="E83" s="169" t="n">
        <f aca="false">SUM(E81:E82)</f>
        <v>1.69830055262898</v>
      </c>
    </row>
    <row r="84" customFormat="false" ht="13.8" hidden="false" customHeight="true" outlineLevel="0" collapsed="false">
      <c r="A84" s="158" t="s">
        <v>512</v>
      </c>
      <c r="B84" s="159" t="s">
        <v>490</v>
      </c>
      <c r="C84" s="160" t="n">
        <f aca="false">1/2250</f>
        <v>0.000444444444444444</v>
      </c>
      <c r="D84" s="161" t="n">
        <f aca="false">D81</f>
        <v>4421.07580799182</v>
      </c>
      <c r="E84" s="162" t="n">
        <f aca="false">C84*D84</f>
        <v>1.96492258132969</v>
      </c>
    </row>
    <row r="85" customFormat="false" ht="13.8" hidden="false" customHeight="false" outlineLevel="0" collapsed="false">
      <c r="A85" s="158"/>
      <c r="B85" s="159" t="s">
        <v>491</v>
      </c>
      <c r="C85" s="160" t="n">
        <f aca="false">1/(30*2250)</f>
        <v>1.48148148148148E-005</v>
      </c>
      <c r="D85" s="161" t="n">
        <f aca="false">D82</f>
        <v>4930.07052319297</v>
      </c>
      <c r="E85" s="162" t="n">
        <f aca="false">C85*D85</f>
        <v>0.073038081825081</v>
      </c>
    </row>
    <row r="86" customFormat="false" ht="13.8" hidden="false" customHeight="true" outlineLevel="0" collapsed="false">
      <c r="A86" s="154" t="s">
        <v>25</v>
      </c>
      <c r="B86" s="154"/>
      <c r="C86" s="154"/>
      <c r="D86" s="154"/>
      <c r="E86" s="169" t="n">
        <f aca="false">SUM(E84:E85)</f>
        <v>2.03796066315477</v>
      </c>
    </row>
    <row r="88" customFormat="false" ht="13.8" hidden="false" customHeight="true" outlineLevel="0" collapsed="false">
      <c r="A88" s="152" t="s">
        <v>513</v>
      </c>
      <c r="B88" s="152"/>
      <c r="C88" s="152"/>
      <c r="D88" s="152"/>
      <c r="E88" s="152"/>
      <c r="F88" s="152"/>
      <c r="G88" s="152"/>
      <c r="H88" s="152"/>
    </row>
    <row r="89" customFormat="false" ht="49.25" hidden="false" customHeight="false" outlineLevel="0" collapsed="false">
      <c r="A89" s="154" t="s">
        <v>484</v>
      </c>
      <c r="B89" s="154" t="s">
        <v>485</v>
      </c>
      <c r="C89" s="154" t="s">
        <v>486</v>
      </c>
      <c r="D89" s="154" t="s">
        <v>514</v>
      </c>
      <c r="E89" s="154" t="s">
        <v>515</v>
      </c>
      <c r="F89" s="154" t="s">
        <v>516</v>
      </c>
      <c r="G89" s="154" t="s">
        <v>517</v>
      </c>
      <c r="H89" s="154" t="s">
        <v>518</v>
      </c>
    </row>
    <row r="90" customFormat="false" ht="13.8" hidden="false" customHeight="true" outlineLevel="0" collapsed="false">
      <c r="A90" s="158" t="s">
        <v>508</v>
      </c>
      <c r="B90" s="159" t="s">
        <v>490</v>
      </c>
      <c r="C90" s="172" t="n">
        <f aca="false">1/300</f>
        <v>0.00333333333333333</v>
      </c>
      <c r="D90" s="158" t="n">
        <v>16</v>
      </c>
      <c r="E90" s="181" t="n">
        <f aca="false">1/188.76</f>
        <v>0.00529773257045984</v>
      </c>
      <c r="F90" s="182" t="n">
        <f aca="false">C90*D90*E90</f>
        <v>0.000282545737091192</v>
      </c>
      <c r="G90" s="161" t="n">
        <f aca="false">$D$5</f>
        <v>4421.07580799182</v>
      </c>
      <c r="H90" s="162" t="n">
        <f aca="false">F90*G90</f>
        <v>1.24915612290509</v>
      </c>
    </row>
    <row r="91" customFormat="false" ht="13.8" hidden="false" customHeight="false" outlineLevel="0" collapsed="false">
      <c r="A91" s="158"/>
      <c r="B91" s="159" t="s">
        <v>491</v>
      </c>
      <c r="C91" s="172" t="n">
        <f aca="false">1/(30*300)</f>
        <v>0.000111111111111111</v>
      </c>
      <c r="D91" s="158" t="n">
        <v>16</v>
      </c>
      <c r="E91" s="181" t="n">
        <f aca="false">1/188.76</f>
        <v>0.00529773257045984</v>
      </c>
      <c r="F91" s="172" t="n">
        <f aca="false">C91*D91*E91</f>
        <v>9.41819123637306E-006</v>
      </c>
      <c r="G91" s="161" t="n">
        <f aca="false">'Serviço Líder'!D153</f>
        <v>4930.07052319297</v>
      </c>
      <c r="H91" s="162" t="n">
        <f aca="false">F91*G91</f>
        <v>0.0464323469962372</v>
      </c>
    </row>
    <row r="92" customFormat="false" ht="13.8" hidden="false" customHeight="true" outlineLevel="0" collapsed="false">
      <c r="A92" s="154" t="s">
        <v>25</v>
      </c>
      <c r="B92" s="154"/>
      <c r="C92" s="154"/>
      <c r="D92" s="154"/>
      <c r="E92" s="154"/>
      <c r="F92" s="154"/>
      <c r="G92" s="154"/>
      <c r="H92" s="169" t="n">
        <f aca="false">SUM(H90:H91)</f>
        <v>1.29558846990132</v>
      </c>
    </row>
    <row r="93" customFormat="false" ht="13.8" hidden="false" customHeight="true" outlineLevel="0" collapsed="false">
      <c r="A93" s="158" t="s">
        <v>519</v>
      </c>
      <c r="B93" s="159" t="s">
        <v>490</v>
      </c>
      <c r="C93" s="172" t="n">
        <f aca="false">1/380</f>
        <v>0.00263157894736842</v>
      </c>
      <c r="D93" s="158" t="n">
        <v>16</v>
      </c>
      <c r="E93" s="181" t="n">
        <f aca="false">1/188.76</f>
        <v>0.00529773257045984</v>
      </c>
      <c r="F93" s="182" t="n">
        <f aca="false">C93*D93*E93</f>
        <v>0.000223062424019362</v>
      </c>
      <c r="G93" s="161" t="n">
        <f aca="false">$D$5</f>
        <v>4421.07580799182</v>
      </c>
      <c r="H93" s="162" t="n">
        <f aca="false">F93*G93</f>
        <v>0.986175886504014</v>
      </c>
    </row>
    <row r="94" customFormat="false" ht="13.8" hidden="false" customHeight="false" outlineLevel="0" collapsed="false">
      <c r="A94" s="158"/>
      <c r="B94" s="159" t="s">
        <v>491</v>
      </c>
      <c r="C94" s="172" t="n">
        <f aca="false">1/(30*380)</f>
        <v>8.7719298245614E-005</v>
      </c>
      <c r="D94" s="158" t="n">
        <v>16</v>
      </c>
      <c r="E94" s="181" t="n">
        <f aca="false">1/188.76</f>
        <v>0.00529773257045984</v>
      </c>
      <c r="F94" s="172" t="n">
        <f aca="false">C94*D94*E94</f>
        <v>7.43541413397873E-006</v>
      </c>
      <c r="G94" s="161" t="n">
        <f aca="false">'Serviço Líder'!D153</f>
        <v>4930.07052319297</v>
      </c>
      <c r="H94" s="162" t="n">
        <f aca="false">F94*G94</f>
        <v>0.0366571160496609</v>
      </c>
    </row>
    <row r="95" customFormat="false" ht="13.8" hidden="false" customHeight="true" outlineLevel="0" collapsed="false">
      <c r="A95" s="154" t="s">
        <v>25</v>
      </c>
      <c r="B95" s="154"/>
      <c r="C95" s="154"/>
      <c r="D95" s="154"/>
      <c r="E95" s="154"/>
      <c r="F95" s="154"/>
      <c r="G95" s="154"/>
      <c r="H95" s="169" t="n">
        <f aca="false">SUM(H93:H94)</f>
        <v>1.02283300255368</v>
      </c>
    </row>
    <row r="96" customFormat="false" ht="13.8" hidden="false" customHeight="true" outlineLevel="0" collapsed="false">
      <c r="A96" s="158" t="s">
        <v>520</v>
      </c>
      <c r="B96" s="159" t="s">
        <v>490</v>
      </c>
      <c r="C96" s="172" t="n">
        <f aca="false">1/340</f>
        <v>0.00294117647058823</v>
      </c>
      <c r="D96" s="158" t="n">
        <v>16</v>
      </c>
      <c r="E96" s="181" t="n">
        <f aca="false">1/188.76</f>
        <v>0.00529773257045984</v>
      </c>
      <c r="F96" s="182" t="n">
        <f aca="false">C96*D96*E96</f>
        <v>0.000249305062139287</v>
      </c>
      <c r="G96" s="161" t="n">
        <f aca="false">G93</f>
        <v>4421.07580799182</v>
      </c>
      <c r="H96" s="162" t="n">
        <f aca="false">F96*G96</f>
        <v>1.1021965790339</v>
      </c>
    </row>
    <row r="97" customFormat="false" ht="13.8" hidden="false" customHeight="false" outlineLevel="0" collapsed="false">
      <c r="A97" s="158"/>
      <c r="B97" s="159" t="s">
        <v>491</v>
      </c>
      <c r="C97" s="172" t="n">
        <f aca="false">1/(30*340)</f>
        <v>9.80392156862745E-005</v>
      </c>
      <c r="D97" s="158" t="n">
        <v>16</v>
      </c>
      <c r="E97" s="181" t="n">
        <f aca="false">1/188.76</f>
        <v>0.00529773257045984</v>
      </c>
      <c r="F97" s="172" t="n">
        <f aca="false">C97*D97*E97</f>
        <v>8.31016873797623E-006</v>
      </c>
      <c r="G97" s="161" t="n">
        <f aca="false">G94</f>
        <v>4930.07052319297</v>
      </c>
      <c r="H97" s="162" t="n">
        <f aca="false">F97*G97</f>
        <v>0.0409697179378563</v>
      </c>
    </row>
    <row r="98" customFormat="false" ht="13.8" hidden="false" customHeight="true" outlineLevel="0" collapsed="false">
      <c r="A98" s="154" t="s">
        <v>25</v>
      </c>
      <c r="B98" s="154"/>
      <c r="C98" s="154"/>
      <c r="D98" s="154"/>
      <c r="E98" s="154"/>
      <c r="F98" s="154"/>
      <c r="G98" s="154"/>
      <c r="H98" s="169" t="n">
        <f aca="false">SUM(H96:H97)</f>
        <v>1.14316629697175</v>
      </c>
    </row>
    <row r="100" customFormat="false" ht="13.8" hidden="false" customHeight="true" outlineLevel="0" collapsed="false">
      <c r="A100" s="152" t="s">
        <v>521</v>
      </c>
      <c r="B100" s="152"/>
      <c r="C100" s="152"/>
      <c r="D100" s="152"/>
      <c r="E100" s="152"/>
      <c r="F100" s="152"/>
      <c r="G100" s="152"/>
      <c r="H100" s="152"/>
    </row>
    <row r="101" customFormat="false" ht="49.25" hidden="false" customHeight="false" outlineLevel="0" collapsed="false">
      <c r="A101" s="154" t="s">
        <v>484</v>
      </c>
      <c r="B101" s="154" t="s">
        <v>485</v>
      </c>
      <c r="C101" s="154" t="s">
        <v>486</v>
      </c>
      <c r="D101" s="154" t="s">
        <v>514</v>
      </c>
      <c r="E101" s="154" t="s">
        <v>515</v>
      </c>
      <c r="F101" s="154" t="s">
        <v>516</v>
      </c>
      <c r="G101" s="154" t="s">
        <v>517</v>
      </c>
      <c r="H101" s="154" t="s">
        <v>518</v>
      </c>
    </row>
    <row r="102" customFormat="false" ht="13.8" hidden="false" customHeight="true" outlineLevel="0" collapsed="false">
      <c r="A102" s="158" t="s">
        <v>522</v>
      </c>
      <c r="B102" s="159" t="s">
        <v>490</v>
      </c>
      <c r="C102" s="172" t="n">
        <f aca="false">1/130</f>
        <v>0.00769230769230769</v>
      </c>
      <c r="D102" s="158" t="n">
        <v>8</v>
      </c>
      <c r="E102" s="181" t="n">
        <f aca="false">1/188.76</f>
        <v>0.00529773257045984</v>
      </c>
      <c r="F102" s="182" t="n">
        <f aca="false">C102*D102*E102</f>
        <v>0.000326014312028298</v>
      </c>
      <c r="G102" s="161" t="n">
        <f aca="false">$D$5</f>
        <v>4421.07580799182</v>
      </c>
      <c r="H102" s="162" t="n">
        <f aca="false">F102*G102</f>
        <v>1.4413339879674</v>
      </c>
    </row>
    <row r="103" customFormat="false" ht="13.8" hidden="false" customHeight="false" outlineLevel="0" collapsed="false">
      <c r="A103" s="158"/>
      <c r="B103" s="159" t="s">
        <v>491</v>
      </c>
      <c r="C103" s="172" t="n">
        <f aca="false">1/(30*130)</f>
        <v>0.000256410256410256</v>
      </c>
      <c r="D103" s="158" t="n">
        <v>8</v>
      </c>
      <c r="E103" s="181" t="n">
        <f aca="false">1/188.76</f>
        <v>0.00529773257045984</v>
      </c>
      <c r="F103" s="183" t="n">
        <f aca="false">C103*D103*E103</f>
        <v>1.08671437342766E-005</v>
      </c>
      <c r="G103" s="161" t="n">
        <f aca="false">'Serviço Líder'!D153</f>
        <v>4930.07052319297</v>
      </c>
      <c r="H103" s="162" t="n">
        <f aca="false">F103*G103</f>
        <v>0.0535757849956582</v>
      </c>
    </row>
    <row r="104" customFormat="false" ht="13.8" hidden="false" customHeight="true" outlineLevel="0" collapsed="false">
      <c r="A104" s="154" t="s">
        <v>25</v>
      </c>
      <c r="B104" s="154"/>
      <c r="C104" s="154"/>
      <c r="D104" s="154"/>
      <c r="E104" s="154"/>
      <c r="F104" s="154"/>
      <c r="G104" s="154"/>
      <c r="H104" s="169" t="n">
        <f aca="false">SUM(H102:H103)</f>
        <v>1.49490977296306</v>
      </c>
    </row>
    <row r="105" customFormat="false" ht="13.8" hidden="false" customHeight="true" outlineLevel="0" collapsed="false">
      <c r="A105" s="158" t="s">
        <v>523</v>
      </c>
      <c r="B105" s="159" t="s">
        <v>490</v>
      </c>
      <c r="C105" s="172" t="n">
        <f aca="false">1/160</f>
        <v>0.00625</v>
      </c>
      <c r="D105" s="158" t="n">
        <v>8</v>
      </c>
      <c r="E105" s="181" t="n">
        <f aca="false">1/188.76</f>
        <v>0.00529773257045984</v>
      </c>
      <c r="F105" s="182" t="n">
        <f aca="false">C105*D105*E105</f>
        <v>0.000264886628522992</v>
      </c>
      <c r="G105" s="161" t="n">
        <f aca="false">$D$5</f>
        <v>4421.07580799182</v>
      </c>
      <c r="H105" s="162" t="n">
        <f aca="false">F105*G105</f>
        <v>1.17108386522352</v>
      </c>
    </row>
    <row r="106" customFormat="false" ht="13.8" hidden="false" customHeight="false" outlineLevel="0" collapsed="false">
      <c r="A106" s="158"/>
      <c r="B106" s="159" t="s">
        <v>491</v>
      </c>
      <c r="C106" s="172" t="n">
        <f aca="false">1/(30*160)</f>
        <v>0.000208333333333333</v>
      </c>
      <c r="D106" s="158" t="n">
        <v>8</v>
      </c>
      <c r="E106" s="181" t="n">
        <f aca="false">1/188.76</f>
        <v>0.00529773257045984</v>
      </c>
      <c r="F106" s="183" t="n">
        <f aca="false">C106*D106*E106</f>
        <v>8.82955428409974E-006</v>
      </c>
      <c r="G106" s="161" t="n">
        <f aca="false">'Serviço Líder'!D153</f>
        <v>4930.07052319297</v>
      </c>
      <c r="H106" s="162" t="n">
        <f aca="false">F106*G106</f>
        <v>0.0435303253089723</v>
      </c>
    </row>
    <row r="107" customFormat="false" ht="13.8" hidden="false" customHeight="true" outlineLevel="0" collapsed="false">
      <c r="A107" s="154" t="s">
        <v>25</v>
      </c>
      <c r="B107" s="154"/>
      <c r="C107" s="154"/>
      <c r="D107" s="154"/>
      <c r="E107" s="154"/>
      <c r="F107" s="154"/>
      <c r="G107" s="154"/>
      <c r="H107" s="169" t="n">
        <f aca="false">SUM(H105:H106)</f>
        <v>1.21461419053249</v>
      </c>
    </row>
    <row r="108" customFormat="false" ht="13.8" hidden="false" customHeight="true" outlineLevel="0" collapsed="false">
      <c r="A108" s="158" t="s">
        <v>524</v>
      </c>
      <c r="B108" s="159" t="s">
        <v>490</v>
      </c>
      <c r="C108" s="172" t="n">
        <f aca="false">1/145</f>
        <v>0.00689655172413793</v>
      </c>
      <c r="D108" s="158" t="n">
        <v>8</v>
      </c>
      <c r="E108" s="181" t="n">
        <f aca="false">1/188.76</f>
        <v>0.00529773257045984</v>
      </c>
      <c r="F108" s="182" t="n">
        <f aca="false">C108*D108*E108</f>
        <v>0.000292288693542612</v>
      </c>
      <c r="G108" s="161" t="n">
        <f aca="false">G105</f>
        <v>4421.07580799182</v>
      </c>
      <c r="H108" s="162" t="n">
        <f aca="false">F108*G108</f>
        <v>1.29223047197078</v>
      </c>
    </row>
    <row r="109" customFormat="false" ht="13.8" hidden="false" customHeight="false" outlineLevel="0" collapsed="false">
      <c r="A109" s="158"/>
      <c r="B109" s="159" t="s">
        <v>491</v>
      </c>
      <c r="C109" s="172" t="n">
        <f aca="false">1/(30*145)</f>
        <v>0.000229885057471264</v>
      </c>
      <c r="D109" s="158" t="n">
        <v>8</v>
      </c>
      <c r="E109" s="181" t="n">
        <f aca="false">1/188.76</f>
        <v>0.00529773257045984</v>
      </c>
      <c r="F109" s="183" t="n">
        <f aca="false">C109*D109*E109</f>
        <v>9.7429564514204E-006</v>
      </c>
      <c r="G109" s="161" t="n">
        <f aca="false">G106</f>
        <v>4930.07052319297</v>
      </c>
      <c r="H109" s="162" t="n">
        <f aca="false">F109*G109</f>
        <v>0.0480334624099005</v>
      </c>
    </row>
    <row r="110" customFormat="false" ht="13.8" hidden="false" customHeight="true" outlineLevel="0" collapsed="false">
      <c r="A110" s="154" t="s">
        <v>25</v>
      </c>
      <c r="B110" s="154"/>
      <c r="C110" s="154"/>
      <c r="D110" s="154"/>
      <c r="E110" s="154"/>
      <c r="F110" s="154"/>
      <c r="G110" s="154"/>
      <c r="H110" s="169" t="n">
        <f aca="false">SUM(H108:H109)</f>
        <v>1.34026393438068</v>
      </c>
    </row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2">
    <mergeCell ref="A1:H1"/>
    <mergeCell ref="A3:E3"/>
    <mergeCell ref="A5:A6"/>
    <mergeCell ref="A7:D7"/>
    <mergeCell ref="A8:A9"/>
    <mergeCell ref="A10:D10"/>
    <mergeCell ref="A11:A12"/>
    <mergeCell ref="A13:D13"/>
    <mergeCell ref="A15:E15"/>
    <mergeCell ref="A17:A18"/>
    <mergeCell ref="A19:D19"/>
    <mergeCell ref="A20:A21"/>
    <mergeCell ref="A22:D22"/>
    <mergeCell ref="A23:A24"/>
    <mergeCell ref="A25:D25"/>
    <mergeCell ref="A27:E27"/>
    <mergeCell ref="A29:A30"/>
    <mergeCell ref="A31:D31"/>
    <mergeCell ref="A32:A33"/>
    <mergeCell ref="A35:D35"/>
    <mergeCell ref="A36:A37"/>
    <mergeCell ref="A40:E40"/>
    <mergeCell ref="A42:A43"/>
    <mergeCell ref="A44:D44"/>
    <mergeCell ref="A45:A46"/>
    <mergeCell ref="A47:D47"/>
    <mergeCell ref="A48:A49"/>
    <mergeCell ref="A52:E52"/>
    <mergeCell ref="A54:A55"/>
    <mergeCell ref="A56:D56"/>
    <mergeCell ref="A57:A58"/>
    <mergeCell ref="A59:D59"/>
    <mergeCell ref="A60:A61"/>
    <mergeCell ref="A62:D62"/>
    <mergeCell ref="A64:E64"/>
    <mergeCell ref="A66:A67"/>
    <mergeCell ref="A68:D68"/>
    <mergeCell ref="A69:A70"/>
    <mergeCell ref="A71:D71"/>
    <mergeCell ref="A72:A73"/>
    <mergeCell ref="A74:D74"/>
    <mergeCell ref="A76:E76"/>
    <mergeCell ref="A78:A79"/>
    <mergeCell ref="A80:D80"/>
    <mergeCell ref="A81:A82"/>
    <mergeCell ref="A83:D83"/>
    <mergeCell ref="A84:A85"/>
    <mergeCell ref="A86:D86"/>
    <mergeCell ref="A88:H88"/>
    <mergeCell ref="A90:A91"/>
    <mergeCell ref="A92:G92"/>
    <mergeCell ref="A93:A94"/>
    <mergeCell ref="A95:G95"/>
    <mergeCell ref="A96:A97"/>
    <mergeCell ref="A98:G98"/>
    <mergeCell ref="A100:H100"/>
    <mergeCell ref="A102:A103"/>
    <mergeCell ref="A104:G104"/>
    <mergeCell ref="A105:A106"/>
    <mergeCell ref="A107:G107"/>
    <mergeCell ref="A108:A109"/>
    <mergeCell ref="A110:G110"/>
  </mergeCells>
  <printOptions headings="false" gridLines="false" gridLinesSet="true" horizontalCentered="false" verticalCentered="false"/>
  <pageMargins left="0.511805555555555" right="0.511805555555555" top="0.749305555555555" bottom="0.749305555555555" header="0.511805555555555" footer="0.511805555555555"/>
  <pageSetup paperSize="9" scale="85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2019-02-06T16:28:57Z</dcterms:created>
  <dc:creator/>
  <dc:description/>
  <dc:language>pt-BR</dc:language>
  <cp:lastModifiedBy/>
  <cp:lastPrinted>2020-02-18T14:33:40Z</cp:lastPrinted>
  <dcterms:modified xsi:type="dcterms:W3CDTF">2021-10-21T16:54:54Z</dcterms:modified>
  <cp:revision>263</cp:revision>
  <dc:subject/>
  <dc:title/>
</cp:coreProperties>
</file>